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4e9bb415d956f31/Desktop/solfound/"/>
    </mc:Choice>
  </mc:AlternateContent>
  <xr:revisionPtr revIDLastSave="4" documentId="13_ncr:1_{CEA37ED3-52D7-4475-928F-39BD91520286}" xr6:coauthVersionLast="47" xr6:coauthVersionMax="47" xr10:uidLastSave="{E5AB1095-3CDD-4F96-AFA9-535C168260F1}"/>
  <bookViews>
    <workbookView xWindow="17070" yWindow="-16320" windowWidth="29040" windowHeight="15720" tabRatio="812" activeTab="2" xr2:uid="{00000000-000D-0000-FFFF-FFFF00000000}"/>
  </bookViews>
  <sheets>
    <sheet name="Inputs" sheetId="1" r:id="rId1"/>
    <sheet name="Overhead" sheetId="2" r:id="rId2"/>
    <sheet name="Filament" sheetId="8" r:id="rId3"/>
    <sheet name="Products" sheetId="3" r:id="rId4"/>
    <sheet name="Pricing" sheetId="4" r:id="rId5"/>
    <sheet name="Projections" sheetId="5" r:id="rId6"/>
    <sheet name="Ramp-Up" sheetId="6" r:id="rId7"/>
    <sheet name="Guide" sheetId="7" r:id="rId8"/>
  </sheets>
  <externalReferences>
    <externalReference r:id="rId9"/>
    <externalReference r:id="rId10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8" l="1"/>
  <c r="N9" i="8"/>
  <c r="N10" i="8"/>
  <c r="N11" i="8"/>
  <c r="E36" i="3"/>
  <c r="E37" i="3"/>
  <c r="B36" i="4" s="1"/>
  <c r="A34" i="4"/>
  <c r="A32" i="4"/>
  <c r="B13" i="2"/>
  <c r="F24" i="5"/>
  <c r="E23" i="3"/>
  <c r="I47" i="8"/>
  <c r="I48" i="8"/>
  <c r="I49" i="8"/>
  <c r="I50" i="8"/>
  <c r="D10" i="2"/>
  <c r="D9" i="2"/>
  <c r="D8" i="2"/>
  <c r="D7" i="2"/>
  <c r="D6" i="2"/>
  <c r="D5" i="2"/>
  <c r="D18" i="2"/>
  <c r="D15" i="2"/>
  <c r="D14" i="2"/>
  <c r="D13" i="2"/>
  <c r="E29" i="3"/>
  <c r="E28" i="3"/>
  <c r="B27" i="4" s="1"/>
  <c r="E27" i="3"/>
  <c r="B26" i="4" s="1"/>
  <c r="E26" i="3"/>
  <c r="E25" i="3"/>
  <c r="B24" i="4" s="1"/>
  <c r="E24" i="3"/>
  <c r="B23" i="4" s="1"/>
  <c r="E22" i="3"/>
  <c r="E21" i="3"/>
  <c r="B21" i="4" s="1"/>
  <c r="I9" i="2"/>
  <c r="I12" i="2"/>
  <c r="I11" i="2"/>
  <c r="I10" i="2"/>
  <c r="B6" i="5"/>
  <c r="B7" i="5"/>
  <c r="B9" i="5"/>
  <c r="B10" i="5"/>
  <c r="B19" i="5"/>
  <c r="B47" i="5"/>
  <c r="B48" i="5"/>
  <c r="B49" i="5"/>
  <c r="B50" i="5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L26" i="4"/>
  <c r="M26" i="4" s="1"/>
  <c r="L27" i="4"/>
  <c r="M27" i="4" s="1"/>
  <c r="L30" i="4"/>
  <c r="M30" i="4" s="1"/>
  <c r="L34" i="4"/>
  <c r="M34" i="4" s="1"/>
  <c r="L38" i="4"/>
  <c r="L39" i="4"/>
  <c r="L48" i="4"/>
  <c r="L49" i="4"/>
  <c r="L50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H38" i="4"/>
  <c r="J38" i="4" s="1"/>
  <c r="H39" i="4"/>
  <c r="J39" i="4" s="1"/>
  <c r="H40" i="4"/>
  <c r="J40" i="4" s="1"/>
  <c r="H41" i="4"/>
  <c r="J41" i="4" s="1"/>
  <c r="H42" i="4"/>
  <c r="J42" i="4" s="1"/>
  <c r="H43" i="4"/>
  <c r="J43" i="4" s="1"/>
  <c r="H44" i="4"/>
  <c r="J44" i="4" s="1"/>
  <c r="H45" i="4"/>
  <c r="J45" i="4" s="1"/>
  <c r="H46" i="4"/>
  <c r="J46" i="4" s="1"/>
  <c r="H47" i="4"/>
  <c r="J47" i="4" s="1"/>
  <c r="H48" i="4"/>
  <c r="J48" i="4" s="1"/>
  <c r="H49" i="4"/>
  <c r="J49" i="4" s="1"/>
  <c r="H50" i="4"/>
  <c r="J50" i="4" s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4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D5" i="4"/>
  <c r="D6" i="4"/>
  <c r="D7" i="4"/>
  <c r="D8" i="4"/>
  <c r="E8" i="4" s="1"/>
  <c r="D9" i="4"/>
  <c r="E9" i="4" s="1"/>
  <c r="D10" i="4"/>
  <c r="E10" i="4" s="1"/>
  <c r="D11" i="4"/>
  <c r="D12" i="4"/>
  <c r="E12" i="4" s="1"/>
  <c r="D13" i="4"/>
  <c r="E13" i="4" s="1"/>
  <c r="D14" i="4"/>
  <c r="D15" i="4"/>
  <c r="D16" i="4"/>
  <c r="D17" i="4"/>
  <c r="E17" i="4" s="1"/>
  <c r="D18" i="4"/>
  <c r="E18" i="4" s="1"/>
  <c r="D19" i="4"/>
  <c r="D20" i="4"/>
  <c r="D21" i="4"/>
  <c r="D22" i="4"/>
  <c r="D23" i="4"/>
  <c r="E23" i="4" s="1"/>
  <c r="D24" i="4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4" i="4"/>
  <c r="E7" i="4"/>
  <c r="E11" i="4"/>
  <c r="E14" i="4"/>
  <c r="E20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C5" i="4"/>
  <c r="C6" i="4"/>
  <c r="E6" i="4" s="1"/>
  <c r="C7" i="4"/>
  <c r="C8" i="4"/>
  <c r="C9" i="4"/>
  <c r="C10" i="4"/>
  <c r="C11" i="4"/>
  <c r="C12" i="4"/>
  <c r="C13" i="4"/>
  <c r="C14" i="4"/>
  <c r="C15" i="4"/>
  <c r="E15" i="4" s="1"/>
  <c r="C16" i="4"/>
  <c r="C17" i="4"/>
  <c r="C18" i="4"/>
  <c r="C19" i="4"/>
  <c r="E19" i="4" s="1"/>
  <c r="C20" i="4"/>
  <c r="C21" i="4"/>
  <c r="C22" i="4"/>
  <c r="C23" i="4"/>
  <c r="C24" i="4"/>
  <c r="C25" i="4"/>
  <c r="L25" i="4" s="1"/>
  <c r="M25" i="4" s="1"/>
  <c r="C26" i="4"/>
  <c r="C27" i="4"/>
  <c r="C28" i="4"/>
  <c r="L28" i="4" s="1"/>
  <c r="M28" i="4" s="1"/>
  <c r="C29" i="4"/>
  <c r="L29" i="4" s="1"/>
  <c r="M29" i="4" s="1"/>
  <c r="C30" i="4"/>
  <c r="C31" i="4"/>
  <c r="L31" i="4" s="1"/>
  <c r="M31" i="4" s="1"/>
  <c r="C32" i="4"/>
  <c r="L32" i="4" s="1"/>
  <c r="M32" i="4" s="1"/>
  <c r="C33" i="4"/>
  <c r="L33" i="4" s="1"/>
  <c r="M33" i="4" s="1"/>
  <c r="C34" i="4"/>
  <c r="E34" i="4" s="1"/>
  <c r="C35" i="4"/>
  <c r="L35" i="4" s="1"/>
  <c r="M35" i="4" s="1"/>
  <c r="C36" i="4"/>
  <c r="L36" i="4" s="1"/>
  <c r="C37" i="4"/>
  <c r="L37" i="4" s="1"/>
  <c r="C38" i="4"/>
  <c r="C39" i="4"/>
  <c r="C40" i="4"/>
  <c r="L40" i="4" s="1"/>
  <c r="C41" i="4"/>
  <c r="L41" i="4" s="1"/>
  <c r="C42" i="4"/>
  <c r="L42" i="4" s="1"/>
  <c r="C43" i="4"/>
  <c r="L43" i="4" s="1"/>
  <c r="C44" i="4"/>
  <c r="L44" i="4" s="1"/>
  <c r="C45" i="4"/>
  <c r="L45" i="4" s="1"/>
  <c r="C46" i="4"/>
  <c r="L46" i="4" s="1"/>
  <c r="C47" i="4"/>
  <c r="L47" i="4" s="1"/>
  <c r="C48" i="4"/>
  <c r="C49" i="4"/>
  <c r="C50" i="4"/>
  <c r="B35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A5" i="4"/>
  <c r="B5" i="5" s="1"/>
  <c r="A6" i="4"/>
  <c r="A7" i="4"/>
  <c r="A8" i="4"/>
  <c r="B8" i="5" s="1"/>
  <c r="A9" i="4"/>
  <c r="A10" i="4"/>
  <c r="A11" i="4"/>
  <c r="A12" i="4"/>
  <c r="A13" i="4"/>
  <c r="A14" i="4"/>
  <c r="A15" i="4"/>
  <c r="B15" i="5" s="1"/>
  <c r="A16" i="4"/>
  <c r="B16" i="5" s="1"/>
  <c r="A17" i="4"/>
  <c r="A18" i="4"/>
  <c r="A19" i="4"/>
  <c r="A20" i="4"/>
  <c r="A21" i="4"/>
  <c r="A22" i="4"/>
  <c r="A23" i="4"/>
  <c r="A24" i="4"/>
  <c r="B24" i="5" s="1"/>
  <c r="A25" i="4"/>
  <c r="B25" i="5" s="1"/>
  <c r="A26" i="4"/>
  <c r="B26" i="5" s="1"/>
  <c r="A27" i="4"/>
  <c r="B27" i="5" s="1"/>
  <c r="A28" i="4"/>
  <c r="A29" i="4"/>
  <c r="A30" i="4"/>
  <c r="A31" i="4"/>
  <c r="B31" i="5" s="1"/>
  <c r="B32" i="5"/>
  <c r="A33" i="4"/>
  <c r="B33" i="5" s="1"/>
  <c r="A35" i="4"/>
  <c r="B35" i="5" s="1"/>
  <c r="A36" i="4"/>
  <c r="B36" i="5" s="1"/>
  <c r="A37" i="4"/>
  <c r="B37" i="5" s="1"/>
  <c r="A38" i="4"/>
  <c r="B38" i="5" s="1"/>
  <c r="A39" i="4"/>
  <c r="B39" i="5" s="1"/>
  <c r="A40" i="4"/>
  <c r="B40" i="5" s="1"/>
  <c r="A41" i="4"/>
  <c r="B41" i="5" s="1"/>
  <c r="A42" i="4"/>
  <c r="B42" i="5" s="1"/>
  <c r="A43" i="4"/>
  <c r="B43" i="5" s="1"/>
  <c r="A44" i="4"/>
  <c r="B44" i="5" s="1"/>
  <c r="A45" i="4"/>
  <c r="B45" i="5" s="1"/>
  <c r="A46" i="4"/>
  <c r="B46" i="5" s="1"/>
  <c r="A47" i="4"/>
  <c r="A48" i="4"/>
  <c r="A49" i="4"/>
  <c r="A50" i="4"/>
  <c r="E18" i="3"/>
  <c r="E30" i="3"/>
  <c r="E31" i="3"/>
  <c r="B30" i="4" s="1"/>
  <c r="E32" i="3"/>
  <c r="B31" i="4" s="1"/>
  <c r="E33" i="3"/>
  <c r="B32" i="4" s="1"/>
  <c r="E34" i="3"/>
  <c r="B33" i="4" s="1"/>
  <c r="E35" i="3"/>
  <c r="B34" i="4" s="1"/>
  <c r="E38" i="3"/>
  <c r="B37" i="4" s="1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14" i="3"/>
  <c r="B14" i="4" s="1"/>
  <c r="E10" i="3"/>
  <c r="B10" i="4" s="1"/>
  <c r="E8" i="3"/>
  <c r="B8" i="4" s="1"/>
  <c r="E9" i="3"/>
  <c r="B9" i="4" s="1"/>
  <c r="E5" i="3"/>
  <c r="B5" i="4" s="1"/>
  <c r="E6" i="3"/>
  <c r="B6" i="4" s="1"/>
  <c r="E7" i="3"/>
  <c r="B7" i="4" s="1"/>
  <c r="J5" i="8"/>
  <c r="J6" i="8"/>
  <c r="J7" i="8"/>
  <c r="J8" i="8"/>
  <c r="J10" i="8"/>
  <c r="J11" i="8"/>
  <c r="J12" i="8"/>
  <c r="J13" i="8"/>
  <c r="J14" i="8"/>
  <c r="J15" i="8"/>
  <c r="J16" i="8"/>
  <c r="J17" i="8"/>
  <c r="E16" i="3" s="1"/>
  <c r="B16" i="4" s="1"/>
  <c r="J18" i="8"/>
  <c r="E12" i="3" s="1"/>
  <c r="B12" i="4" s="1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4" i="8"/>
  <c r="E4" i="3" s="1"/>
  <c r="B4" i="4" s="1"/>
  <c r="K4" i="8"/>
  <c r="K40" i="8"/>
  <c r="K20" i="8"/>
  <c r="K33" i="8"/>
  <c r="K21" i="8"/>
  <c r="K26" i="8"/>
  <c r="K30" i="8"/>
  <c r="K18" i="8"/>
  <c r="K19" i="8"/>
  <c r="I10" i="8"/>
  <c r="K10" i="8" s="1"/>
  <c r="K13" i="8"/>
  <c r="K14" i="8"/>
  <c r="K15" i="8"/>
  <c r="K16" i="8"/>
  <c r="K17" i="8"/>
  <c r="K22" i="8"/>
  <c r="K23" i="8"/>
  <c r="K24" i="8"/>
  <c r="K25" i="8"/>
  <c r="K27" i="8"/>
  <c r="K28" i="8"/>
  <c r="K29" i="8"/>
  <c r="K31" i="8"/>
  <c r="K32" i="8"/>
  <c r="K34" i="8"/>
  <c r="K35" i="8"/>
  <c r="K36" i="8"/>
  <c r="K37" i="8"/>
  <c r="K38" i="8"/>
  <c r="K39" i="8"/>
  <c r="K41" i="8"/>
  <c r="K42" i="8"/>
  <c r="K43" i="8"/>
  <c r="K44" i="8"/>
  <c r="K45" i="8"/>
  <c r="K46" i="8"/>
  <c r="K47" i="8"/>
  <c r="K48" i="8"/>
  <c r="K49" i="8"/>
  <c r="K50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5" i="8"/>
  <c r="K6" i="8"/>
  <c r="K7" i="8"/>
  <c r="K8" i="8"/>
  <c r="K11" i="8"/>
  <c r="K12" i="8"/>
  <c r="I9" i="8"/>
  <c r="K9" i="8" s="1"/>
  <c r="E37" i="4" l="1"/>
  <c r="F37" i="4" s="1"/>
  <c r="H37" i="4" s="1"/>
  <c r="I37" i="4" s="1"/>
  <c r="E36" i="4"/>
  <c r="F36" i="4" s="1"/>
  <c r="H36" i="4" s="1"/>
  <c r="I36" i="4" s="1"/>
  <c r="E35" i="4"/>
  <c r="F35" i="4" s="1"/>
  <c r="H35" i="4" s="1"/>
  <c r="I35" i="4"/>
  <c r="J35" i="4" s="1"/>
  <c r="E16" i="4"/>
  <c r="F34" i="4"/>
  <c r="H34" i="4" s="1"/>
  <c r="E33" i="4"/>
  <c r="F33" i="4" s="1"/>
  <c r="H33" i="4" s="1"/>
  <c r="E32" i="4"/>
  <c r="F32" i="4"/>
  <c r="H32" i="4" s="1"/>
  <c r="I32" i="4" s="1"/>
  <c r="E5" i="4"/>
  <c r="E22" i="4"/>
  <c r="E21" i="4"/>
  <c r="E20" i="3"/>
  <c r="B20" i="4" s="1"/>
  <c r="E13" i="3"/>
  <c r="B13" i="4" s="1"/>
  <c r="E19" i="3"/>
  <c r="B19" i="4" s="1"/>
  <c r="E15" i="3"/>
  <c r="B15" i="4" s="1"/>
  <c r="E11" i="3"/>
  <c r="B11" i="4" s="1"/>
  <c r="J9" i="8"/>
  <c r="E17" i="3"/>
  <c r="B17" i="4" s="1"/>
  <c r="B29" i="4"/>
  <c r="B28" i="4"/>
  <c r="E24" i="4"/>
  <c r="B25" i="4"/>
  <c r="B22" i="4"/>
  <c r="B18" i="4"/>
  <c r="A21" i="5"/>
  <c r="A18" i="5"/>
  <c r="G38" i="5"/>
  <c r="G39" i="5"/>
  <c r="G40" i="5"/>
  <c r="G41" i="5"/>
  <c r="G42" i="5"/>
  <c r="A43" i="5"/>
  <c r="D45" i="5"/>
  <c r="C47" i="5"/>
  <c r="G48" i="5"/>
  <c r="C49" i="5"/>
  <c r="D50" i="5"/>
  <c r="E11" i="6"/>
  <c r="D11" i="6"/>
  <c r="C11" i="6"/>
  <c r="B11" i="6"/>
  <c r="D60" i="5"/>
  <c r="D56" i="5"/>
  <c r="A12" i="5"/>
  <c r="A7" i="5"/>
  <c r="C4" i="4"/>
  <c r="A4" i="4"/>
  <c r="B4" i="5" s="1"/>
  <c r="B19" i="2"/>
  <c r="F22" i="2" s="1"/>
  <c r="B11" i="2"/>
  <c r="F21" i="2" s="1"/>
  <c r="J37" i="4" l="1"/>
  <c r="J36" i="4"/>
  <c r="I34" i="4"/>
  <c r="J34" i="4" s="1"/>
  <c r="I33" i="4"/>
  <c r="E33" i="5" s="1"/>
  <c r="E32" i="5"/>
  <c r="J32" i="4"/>
  <c r="E4" i="4"/>
  <c r="E41" i="5"/>
  <c r="A41" i="5"/>
  <c r="C42" i="5"/>
  <c r="F42" i="5"/>
  <c r="E50" i="5"/>
  <c r="G50" i="5"/>
  <c r="G45" i="5"/>
  <c r="C45" i="5"/>
  <c r="F44" i="5"/>
  <c r="C43" i="5"/>
  <c r="F43" i="5"/>
  <c r="D43" i="5"/>
  <c r="A40" i="5"/>
  <c r="C41" i="5"/>
  <c r="D41" i="5"/>
  <c r="A29" i="5"/>
  <c r="A19" i="5"/>
  <c r="A34" i="5"/>
  <c r="F35" i="5"/>
  <c r="F39" i="5"/>
  <c r="F32" i="5"/>
  <c r="A39" i="5"/>
  <c r="A32" i="5"/>
  <c r="A35" i="5"/>
  <c r="A17" i="5"/>
  <c r="A13" i="5"/>
  <c r="A10" i="5"/>
  <c r="F24" i="2"/>
  <c r="G36" i="5"/>
  <c r="C46" i="5"/>
  <c r="D49" i="5"/>
  <c r="A15" i="5"/>
  <c r="A37" i="5"/>
  <c r="F40" i="5"/>
  <c r="D46" i="5"/>
  <c r="E49" i="5"/>
  <c r="E48" i="5"/>
  <c r="F37" i="5"/>
  <c r="C40" i="5"/>
  <c r="E46" i="5"/>
  <c r="A9" i="5"/>
  <c r="A31" i="5"/>
  <c r="C37" i="5"/>
  <c r="D37" i="5" s="1"/>
  <c r="G37" i="5" s="1"/>
  <c r="D40" i="5"/>
  <c r="E43" i="5"/>
  <c r="F46" i="5"/>
  <c r="G49" i="5"/>
  <c r="A6" i="5"/>
  <c r="A28" i="5"/>
  <c r="F31" i="5"/>
  <c r="C34" i="5"/>
  <c r="D34" i="5" s="1"/>
  <c r="G34" i="5" s="1"/>
  <c r="E40" i="5"/>
  <c r="G46" i="5"/>
  <c r="A50" i="5"/>
  <c r="A14" i="5"/>
  <c r="A25" i="5"/>
  <c r="E37" i="5"/>
  <c r="G43" i="5"/>
  <c r="A47" i="5"/>
  <c r="F50" i="5"/>
  <c r="A36" i="5"/>
  <c r="A22" i="5"/>
  <c r="F25" i="5"/>
  <c r="E34" i="5"/>
  <c r="F34" i="5" s="1"/>
  <c r="A44" i="5"/>
  <c r="F47" i="5"/>
  <c r="C50" i="5"/>
  <c r="A16" i="5"/>
  <c r="A38" i="5"/>
  <c r="F41" i="5"/>
  <c r="C44" i="5"/>
  <c r="D47" i="5"/>
  <c r="F38" i="5"/>
  <c r="D44" i="5"/>
  <c r="E47" i="5"/>
  <c r="C35" i="5"/>
  <c r="A4" i="5"/>
  <c r="A26" i="5"/>
  <c r="C32" i="5"/>
  <c r="D32" i="5" s="1"/>
  <c r="G32" i="5" s="1"/>
  <c r="D35" i="5"/>
  <c r="G35" i="5" s="1"/>
  <c r="E38" i="5"/>
  <c r="G44" i="5"/>
  <c r="A48" i="5"/>
  <c r="C38" i="5"/>
  <c r="E44" i="5"/>
  <c r="D38" i="5"/>
  <c r="G47" i="5"/>
  <c r="A23" i="5"/>
  <c r="F26" i="5"/>
  <c r="E35" i="5"/>
  <c r="A45" i="5"/>
  <c r="F48" i="5"/>
  <c r="A20" i="5"/>
  <c r="A42" i="5"/>
  <c r="F45" i="5"/>
  <c r="C48" i="5"/>
  <c r="D48" i="5"/>
  <c r="A11" i="5"/>
  <c r="A33" i="5"/>
  <c r="F36" i="5"/>
  <c r="C39" i="5"/>
  <c r="D42" i="5"/>
  <c r="E45" i="5"/>
  <c r="A8" i="5"/>
  <c r="A30" i="5"/>
  <c r="F33" i="5"/>
  <c r="C36" i="5"/>
  <c r="D39" i="5"/>
  <c r="E42" i="5"/>
  <c r="A5" i="5"/>
  <c r="A27" i="5"/>
  <c r="C33" i="5"/>
  <c r="D33" i="5" s="1"/>
  <c r="G33" i="5" s="1"/>
  <c r="D36" i="5"/>
  <c r="E39" i="5"/>
  <c r="A49" i="5"/>
  <c r="A24" i="5"/>
  <c r="F27" i="5"/>
  <c r="E36" i="5"/>
  <c r="A46" i="5"/>
  <c r="F49" i="5"/>
  <c r="J33" i="4" l="1"/>
  <c r="E10" i="6"/>
  <c r="D10" i="6"/>
  <c r="B13" i="1"/>
  <c r="C10" i="6"/>
  <c r="B10" i="6"/>
  <c r="D59" i="5"/>
  <c r="L22" i="4" l="1"/>
  <c r="M22" i="4" s="1"/>
  <c r="L21" i="4"/>
  <c r="M21" i="4" s="1"/>
  <c r="L24" i="4"/>
  <c r="M24" i="4" s="1"/>
  <c r="L23" i="4"/>
  <c r="M23" i="4" s="1"/>
  <c r="F31" i="4"/>
  <c r="H31" i="4" s="1"/>
  <c r="F30" i="4"/>
  <c r="H30" i="4" s="1"/>
  <c r="F23" i="4"/>
  <c r="H23" i="4" s="1"/>
  <c r="F27" i="4"/>
  <c r="H27" i="4" s="1"/>
  <c r="F29" i="4"/>
  <c r="H29" i="4" s="1"/>
  <c r="F21" i="4"/>
  <c r="H21" i="4" s="1"/>
  <c r="F26" i="4"/>
  <c r="H26" i="4" s="1"/>
  <c r="F25" i="4"/>
  <c r="H25" i="4" s="1"/>
  <c r="F24" i="4"/>
  <c r="H24" i="4" s="1"/>
  <c r="F22" i="4"/>
  <c r="H22" i="4" s="1"/>
  <c r="F28" i="4"/>
  <c r="H28" i="4" s="1"/>
  <c r="L19" i="4"/>
  <c r="M19" i="4" s="1"/>
  <c r="L20" i="4"/>
  <c r="M20" i="4" s="1"/>
  <c r="L16" i="4"/>
  <c r="M16" i="4" s="1"/>
  <c r="L17" i="4"/>
  <c r="M17" i="4" s="1"/>
  <c r="L18" i="4"/>
  <c r="M18" i="4" s="1"/>
  <c r="L9" i="4"/>
  <c r="M9" i="4" s="1"/>
  <c r="F18" i="4"/>
  <c r="H18" i="4" s="1"/>
  <c r="L10" i="4"/>
  <c r="M10" i="4" s="1"/>
  <c r="F19" i="4"/>
  <c r="H19" i="4" s="1"/>
  <c r="L11" i="4"/>
  <c r="M11" i="4" s="1"/>
  <c r="F20" i="4"/>
  <c r="H20" i="4" s="1"/>
  <c r="L15" i="4"/>
  <c r="M15" i="4" s="1"/>
  <c r="F6" i="4"/>
  <c r="H6" i="4" s="1"/>
  <c r="F9" i="4"/>
  <c r="H9" i="4" s="1"/>
  <c r="F11" i="4"/>
  <c r="H11" i="4" s="1"/>
  <c r="F14" i="4"/>
  <c r="H14" i="4" s="1"/>
  <c r="L7" i="4"/>
  <c r="M7" i="4" s="1"/>
  <c r="L4" i="4"/>
  <c r="M4" i="4" s="1"/>
  <c r="L12" i="4"/>
  <c r="M12" i="4" s="1"/>
  <c r="L13" i="4"/>
  <c r="M13" i="4" s="1"/>
  <c r="L14" i="4"/>
  <c r="M14" i="4" s="1"/>
  <c r="F12" i="4"/>
  <c r="H12" i="4" s="1"/>
  <c r="F10" i="4"/>
  <c r="H10" i="4" s="1"/>
  <c r="F16" i="4"/>
  <c r="H16" i="4" s="1"/>
  <c r="L8" i="4"/>
  <c r="M8" i="4" s="1"/>
  <c r="F8" i="4"/>
  <c r="H8" i="4" s="1"/>
  <c r="L5" i="4"/>
  <c r="M5" i="4" s="1"/>
  <c r="F5" i="4"/>
  <c r="H5" i="4" s="1"/>
  <c r="F13" i="4"/>
  <c r="H13" i="4" s="1"/>
  <c r="F17" i="4"/>
  <c r="H17" i="4" s="1"/>
  <c r="F7" i="4"/>
  <c r="H7" i="4" s="1"/>
  <c r="F4" i="4"/>
  <c r="H4" i="4" s="1"/>
  <c r="L6" i="4"/>
  <c r="M6" i="4" s="1"/>
  <c r="F15" i="4"/>
  <c r="H15" i="4" s="1"/>
  <c r="I30" i="4" l="1"/>
  <c r="C30" i="5"/>
  <c r="D30" i="5" s="1"/>
  <c r="G30" i="5" s="1"/>
  <c r="I31" i="4"/>
  <c r="C31" i="5"/>
  <c r="D31" i="5" s="1"/>
  <c r="G31" i="5" s="1"/>
  <c r="C24" i="5"/>
  <c r="D24" i="5" s="1"/>
  <c r="G24" i="5" s="1"/>
  <c r="I24" i="4"/>
  <c r="E24" i="5" s="1"/>
  <c r="I28" i="4"/>
  <c r="E28" i="5" s="1"/>
  <c r="F28" i="5" s="1"/>
  <c r="C28" i="5"/>
  <c r="D28" i="5" s="1"/>
  <c r="G28" i="5" s="1"/>
  <c r="J28" i="4"/>
  <c r="C25" i="5"/>
  <c r="D25" i="5" s="1"/>
  <c r="G25" i="5" s="1"/>
  <c r="I25" i="4"/>
  <c r="I21" i="4"/>
  <c r="E21" i="5" s="1"/>
  <c r="F21" i="5" s="1"/>
  <c r="C21" i="5"/>
  <c r="D21" i="5" s="1"/>
  <c r="G21" i="5" s="1"/>
  <c r="I29" i="4"/>
  <c r="E29" i="5" s="1"/>
  <c r="F29" i="5" s="1"/>
  <c r="C29" i="5"/>
  <c r="D29" i="5" s="1"/>
  <c r="G29" i="5" s="1"/>
  <c r="I22" i="4"/>
  <c r="C22" i="5"/>
  <c r="D22" i="5" s="1"/>
  <c r="G22" i="5" s="1"/>
  <c r="C26" i="5"/>
  <c r="D26" i="5" s="1"/>
  <c r="G26" i="5" s="1"/>
  <c r="I26" i="4"/>
  <c r="E26" i="5" s="1"/>
  <c r="I27" i="4"/>
  <c r="C27" i="5"/>
  <c r="D27" i="5" s="1"/>
  <c r="G27" i="5" s="1"/>
  <c r="I23" i="4"/>
  <c r="E23" i="5" s="1"/>
  <c r="F23" i="5" s="1"/>
  <c r="C23" i="5"/>
  <c r="D23" i="5" s="1"/>
  <c r="G23" i="5" s="1"/>
  <c r="I8" i="4"/>
  <c r="J8" i="4" s="1"/>
  <c r="I16" i="4"/>
  <c r="E16" i="5" s="1"/>
  <c r="F16" i="5" s="1"/>
  <c r="C16" i="5"/>
  <c r="D16" i="5" s="1"/>
  <c r="G16" i="5" s="1"/>
  <c r="I10" i="4"/>
  <c r="E10" i="5" s="1"/>
  <c r="F10" i="5" s="1"/>
  <c r="I12" i="4"/>
  <c r="E12" i="5" s="1"/>
  <c r="F12" i="5" s="1"/>
  <c r="C12" i="5"/>
  <c r="D12" i="5" s="1"/>
  <c r="G12" i="5" s="1"/>
  <c r="C10" i="5"/>
  <c r="D10" i="5" s="1"/>
  <c r="G10" i="5" s="1"/>
  <c r="I14" i="4"/>
  <c r="E14" i="5" s="1"/>
  <c r="F14" i="5" s="1"/>
  <c r="C14" i="5"/>
  <c r="D14" i="5" s="1"/>
  <c r="G14" i="5" s="1"/>
  <c r="I11" i="4"/>
  <c r="E11" i="5" s="1"/>
  <c r="F11" i="5" s="1"/>
  <c r="I9" i="4"/>
  <c r="E9" i="5" s="1"/>
  <c r="F9" i="5" s="1"/>
  <c r="I6" i="4"/>
  <c r="E6" i="5" s="1"/>
  <c r="F6" i="5" s="1"/>
  <c r="I15" i="4"/>
  <c r="E15" i="5" s="1"/>
  <c r="F15" i="5" s="1"/>
  <c r="C15" i="5"/>
  <c r="D15" i="5" s="1"/>
  <c r="G15" i="5" s="1"/>
  <c r="I20" i="4"/>
  <c r="E20" i="5" s="1"/>
  <c r="F20" i="5" s="1"/>
  <c r="C20" i="5"/>
  <c r="D20" i="5" s="1"/>
  <c r="G20" i="5" s="1"/>
  <c r="I7" i="4"/>
  <c r="E7" i="5" s="1"/>
  <c r="F7" i="5" s="1"/>
  <c r="I19" i="4"/>
  <c r="E19" i="5" s="1"/>
  <c r="F19" i="5" s="1"/>
  <c r="C19" i="5"/>
  <c r="D19" i="5" s="1"/>
  <c r="G19" i="5" s="1"/>
  <c r="I17" i="4"/>
  <c r="E17" i="5" s="1"/>
  <c r="F17" i="5" s="1"/>
  <c r="C17" i="5"/>
  <c r="D17" i="5" s="1"/>
  <c r="G17" i="5" s="1"/>
  <c r="I13" i="4"/>
  <c r="E13" i="5" s="1"/>
  <c r="F13" i="5" s="1"/>
  <c r="C13" i="5"/>
  <c r="D13" i="5" s="1"/>
  <c r="G13" i="5" s="1"/>
  <c r="I18" i="4"/>
  <c r="E18" i="5" s="1"/>
  <c r="F18" i="5" s="1"/>
  <c r="C18" i="5"/>
  <c r="I5" i="4"/>
  <c r="E5" i="5" s="1"/>
  <c r="F5" i="5" s="1"/>
  <c r="C11" i="5"/>
  <c r="D11" i="5" s="1"/>
  <c r="G11" i="5" s="1"/>
  <c r="C9" i="5"/>
  <c r="D9" i="5" s="1"/>
  <c r="G9" i="5" s="1"/>
  <c r="C7" i="5"/>
  <c r="D7" i="5" s="1"/>
  <c r="G7" i="5" s="1"/>
  <c r="I4" i="4"/>
  <c r="E4" i="5" s="1"/>
  <c r="C4" i="5"/>
  <c r="D4" i="5" s="1"/>
  <c r="C6" i="5"/>
  <c r="D6" i="5" s="1"/>
  <c r="G6" i="5" s="1"/>
  <c r="C5" i="5"/>
  <c r="D5" i="5" s="1"/>
  <c r="G5" i="5" s="1"/>
  <c r="C8" i="5"/>
  <c r="D8" i="5" s="1"/>
  <c r="G8" i="5" s="1"/>
  <c r="J31" i="4" l="1"/>
  <c r="E31" i="5"/>
  <c r="J26" i="4"/>
  <c r="J30" i="4"/>
  <c r="E30" i="5"/>
  <c r="F30" i="5" s="1"/>
  <c r="J23" i="4"/>
  <c r="J21" i="4"/>
  <c r="J24" i="4"/>
  <c r="J29" i="4"/>
  <c r="J22" i="4"/>
  <c r="E22" i="5"/>
  <c r="F22" i="5" s="1"/>
  <c r="J25" i="4"/>
  <c r="E25" i="5"/>
  <c r="J27" i="4"/>
  <c r="E27" i="5"/>
  <c r="E8" i="5"/>
  <c r="F8" i="5" s="1"/>
  <c r="J16" i="4"/>
  <c r="J11" i="4"/>
  <c r="J17" i="4"/>
  <c r="D18" i="5"/>
  <c r="G18" i="5" s="1"/>
  <c r="J19" i="4"/>
  <c r="J14" i="4"/>
  <c r="J5" i="4"/>
  <c r="J9" i="4"/>
  <c r="J15" i="4"/>
  <c r="J6" i="4"/>
  <c r="J18" i="4"/>
  <c r="J12" i="4"/>
  <c r="J13" i="4"/>
  <c r="J20" i="4"/>
  <c r="J10" i="4"/>
  <c r="J7" i="4"/>
  <c r="J4" i="4"/>
  <c r="F4" i="5"/>
  <c r="G4" i="5"/>
  <c r="D53" i="5" l="1"/>
  <c r="D54" i="5"/>
  <c r="D57" i="5"/>
  <c r="D63" i="5"/>
  <c r="D62" i="5"/>
  <c r="D52" i="5"/>
  <c r="C9" i="6" s="1"/>
  <c r="D9" i="6" l="1"/>
  <c r="E9" i="6"/>
  <c r="D12" i="6"/>
  <c r="C12" i="6"/>
  <c r="C13" i="6" s="1"/>
  <c r="E12" i="6"/>
  <c r="B12" i="6"/>
  <c r="B9" i="6"/>
  <c r="D13" i="6" l="1"/>
  <c r="E13" i="6"/>
  <c r="B13" i="6"/>
  <c r="B14" i="6" s="1"/>
  <c r="C14" i="6" s="1"/>
  <c r="D14" i="6" l="1"/>
  <c r="E14" i="6" s="1"/>
</calcChain>
</file>

<file path=xl/sharedStrings.xml><?xml version="1.0" encoding="utf-8"?>
<sst xmlns="http://schemas.openxmlformats.org/spreadsheetml/2006/main" count="410" uniqueCount="308">
  <si>
    <t>⚙️  UNIVERSAL REVENUE MODEL v3 — INPUTS</t>
  </si>
  <si>
    <t>Edit only the GOLD cells. All other sheets update automatically.</t>
  </si>
  <si>
    <t>Parameter</t>
  </si>
  <si>
    <t>Value</t>
  </si>
  <si>
    <t>Notes / Guidance</t>
  </si>
  <si>
    <t>── WAGE &amp; PRICING</t>
  </si>
  <si>
    <t>Desired Hourly Wage ($/hr)</t>
  </si>
  <si>
    <t>Your take-home target per hour — anchor for all pricing</t>
  </si>
  <si>
    <t>Default Markup (low end)</t>
  </si>
  <si>
    <t>Minimum acceptable markup — covers costs + thin margin</t>
  </si>
  <si>
    <t>Default Markup (high end)</t>
  </si>
  <si>
    <t>Premium/scarce products — use for services with low competition</t>
  </si>
  <si>
    <t>Default Markup (used in model)</t>
  </si>
  <si>
    <t>← Change this one for scenarios; stays between low/high</t>
  </si>
  <si>
    <t>── CAPACITY</t>
  </si>
  <si>
    <t>Weekly Hours Available</t>
  </si>
  <si>
    <t>Realistic working hours per week</t>
  </si>
  <si>
    <t>Minimum Weekly Income Goal ($)</t>
  </si>
  <si>
    <t>The floor — what you need to cover your life</t>
  </si>
  <si>
    <t>── OVERHEAD (auto-pulled from Overhead sheet)</t>
  </si>
  <si>
    <t>Monthly Fixed Overhead ($)</t>
  </si>
  <si>
    <t>Pulled from Overhead sheet total</t>
  </si>
  <si>
    <t>Variable Overhead per $ Revenue</t>
  </si>
  <si>
    <t>e.g. extra packaging, delivery bags — estimate 3–8%</t>
  </si>
  <si>
    <t>── TAXES &amp; RESERVES</t>
  </si>
  <si>
    <t>Tax / Reserve % (of revenue)</t>
  </si>
  <si>
    <t>Self-employment tax ≈15.3%; save from day one</t>
  </si>
  <si>
    <t>INPUT REFERENCE: Wage=B5 | MarkupUsed=B8 | WeeklyHrs=B10 | WeeklyGoal=B11 | FixedOH=B13 | VarOH=B14 | TaxPct=B16</t>
  </si>
  <si>
    <t>🔧  OVERHEAD — Fixed vs Variable Costs</t>
  </si>
  <si>
    <t>Enter your monthly costs below. Fixed costs are the same every month. Variable costs scale with your revenue.</t>
  </si>
  <si>
    <t>Category</t>
  </si>
  <si>
    <t>Monthly ($)</t>
  </si>
  <si>
    <t>Tax Deductible?</t>
  </si>
  <si>
    <t>% of Revenue</t>
  </si>
  <si>
    <t>Notes</t>
  </si>
  <si>
    <t>📌  FIXED COSTS (same every month)</t>
  </si>
  <si>
    <t>Tools &amp; Equipment</t>
  </si>
  <si>
    <t>Yes</t>
  </si>
  <si>
    <t>Depreciation + maintenance; deduct over time</t>
  </si>
  <si>
    <t>Transportation / Gas</t>
  </si>
  <si>
    <t>IRS mileage rate — track miles separately</t>
  </si>
  <si>
    <t>Marketing (flyers, signs)</t>
  </si>
  <si>
    <t>Nextdoor boosts, printing, signs</t>
  </si>
  <si>
    <t>Phone / Internet (biz %)</t>
  </si>
  <si>
    <t>Business use % of your bill</t>
  </si>
  <si>
    <t>Insurance (liability)</t>
  </si>
  <si>
    <t>General liability; worth it at $10–20/mo</t>
  </si>
  <si>
    <t>Permits / DBA / Filing</t>
  </si>
  <si>
    <t>Amortize annual fees across 12 months</t>
  </si>
  <si>
    <t>Fixed Overhead Subtotal</t>
  </si>
  <si>
    <t>📦  VARIABLE COSTS (scale with revenue / output)</t>
  </si>
  <si>
    <t>Ongoing inputs — track per crop</t>
  </si>
  <si>
    <t>Miscellaneous / Buffer</t>
  </si>
  <si>
    <t>No</t>
  </si>
  <si>
    <t>Unplanned small expenses</t>
  </si>
  <si>
    <t>Variable Overhead Subtotal</t>
  </si>
  <si>
    <t>Monthly Fixed OH</t>
  </si>
  <si>
    <t>Monthly Variable OH</t>
  </si>
  <si>
    <t>TOTAL MONTHLY OVERHEAD</t>
  </si>
  <si>
    <t>🌿  PRODUCTS &amp; SERVICES — Master List</t>
  </si>
  <si>
    <t>Add your offerings here. Leave Override cells blank to use global Inputs values.</t>
  </si>
  <si>
    <t>Product / Service</t>
  </si>
  <si>
    <t>Unit</t>
  </si>
  <si>
    <t>Material Cost ($)</t>
  </si>
  <si>
    <t>Hours / Unit</t>
  </si>
  <si>
    <t>Override Wage ($/hr)</t>
  </si>
  <si>
    <t>Override Markup</t>
  </si>
  <si>
    <t>Units / Week</t>
  </si>
  <si>
    <t>💲  PRICING — Auto-Calculated + Reality Check</t>
  </si>
  <si>
    <t>Cols A–J: auto-calculated. Col K: enter realistic market price. Cols L–M: Reality Check.</t>
  </si>
  <si>
    <t>Material
Cost ($)</t>
  </si>
  <si>
    <t>Hours /
Unit</t>
  </si>
  <si>
    <t>Wage
Used ($/hr)</t>
  </si>
  <si>
    <t>Time
Cost ($)</t>
  </si>
  <si>
    <t>Base
Cost ($)</t>
  </si>
  <si>
    <t>Markup
Used</t>
  </si>
  <si>
    <t>Suggested
Price ($)</t>
  </si>
  <si>
    <t>Profit /
Unit ($)</t>
  </si>
  <si>
    <t>Margin %</t>
  </si>
  <si>
    <t>Market Price
(enter here $)</t>
  </si>
  <si>
    <t>Effective
$/hr @ Market</t>
  </si>
  <si>
    <t>⚠️ Viability Flag</t>
  </si>
  <si>
    <t>📈  PROJECTIONS — Weekly &amp; Monthly Outcomes</t>
  </si>
  <si>
    <t>Live totals. Check the Gap to Goal row — green = on track, red = adjust your product mix.</t>
  </si>
  <si>
    <t>Units /
Week</t>
  </si>
  <si>
    <t>Price Used
($)</t>
  </si>
  <si>
    <t>Weekly
Revenue ($)</t>
  </si>
  <si>
    <t>Weekly
Profit ($)</t>
  </si>
  <si>
    <t>Effective
$/hr</t>
  </si>
  <si>
    <t>Goal
Contrib %</t>
  </si>
  <si>
    <t>Total Weekly Revenue</t>
  </si>
  <si>
    <t>Total Weekly Profit</t>
  </si>
  <si>
    <t>Monthly Profit (×4.33)</t>
  </si>
  <si>
    <t>Income Goal (weekly)</t>
  </si>
  <si>
    <t>Gap to Goal (weekly)</t>
  </si>
  <si>
    <t>Total Weekly Hours</t>
  </si>
  <si>
    <t>Hours Available (weekly)</t>
  </si>
  <si>
    <t>Tax Reserve (monthly)</t>
  </si>
  <si>
    <t>After-Tax Monthly Profit</t>
  </si>
  <si>
    <t>🚀  RAMP-UP MODEL — Month 1 → Month 4+</t>
  </si>
  <si>
    <t>Conservative start: higher costs + lower output in early months. Adjust efficiency gains to match your reality.</t>
  </si>
  <si>
    <t>Metric</t>
  </si>
  <si>
    <t>Month 1
(Getting Started)</t>
  </si>
  <si>
    <t>Month 2
(Finding Rhythm)</t>
  </si>
  <si>
    <t>Month 3
(Gaining Traction)</t>
  </si>
  <si>
    <t>Month 4+
(Steady State)</t>
  </si>
  <si>
    <t>📌  EFFICIENCY ASSUMPTIONS (edit gold cells)</t>
  </si>
  <si>
    <t>Output Efficiency (% of full capacity)</t>
  </si>
  <si>
    <t>How much of your full weekly output you'll realistically hit</t>
  </si>
  <si>
    <t>Extra Startup Costs this Month ($)</t>
  </si>
  <si>
    <t>Seeds, soil, containers, tools — front-loaded</t>
  </si>
  <si>
    <t>📊  PROJECTED OUTCOMES (auto-calculated from Projections + efficiency)</t>
  </si>
  <si>
    <t>Monthly Revenue</t>
  </si>
  <si>
    <t>Revenue scales with efficiency</t>
  </si>
  <si>
    <t>Monthly Overhead (fixed)</t>
  </si>
  <si>
    <t>Fixed costs don't drop — this is the reality check</t>
  </si>
  <si>
    <t>Startup / Setup Costs</t>
  </si>
  <si>
    <t>Front-loaded — mostly Month 1</t>
  </si>
  <si>
    <t>Tax Reserve (15%)</t>
  </si>
  <si>
    <t>Set aside from day one</t>
  </si>
  <si>
    <t>Net Monthly Profit</t>
  </si>
  <si>
    <t>Reality: Month 1 may be negative — that's normal</t>
  </si>
  <si>
    <t>Cumulative Profit</t>
  </si>
  <si>
    <t>Track when you break even</t>
  </si>
  <si>
    <t>📖  HOW TO USE THIS WORKBOOK (v3)</t>
  </si>
  <si>
    <t>STEP 1 — Set Your Anchors</t>
  </si>
  <si>
    <t>Go to Inputs. Set Desired Hourly Wage, Markup range (low/high), and the Default Markup Used. These drive every formula.</t>
  </si>
  <si>
    <t>STEP 2 — Build Your Overhead</t>
  </si>
  <si>
    <t>Go to Overhead. Fill in your real monthly fixed and variable costs. The total feeds back into Inputs automatically.</t>
  </si>
  <si>
    <t>STEP 3 — Add Your Products</t>
  </si>
  <si>
    <t>Go to Products. Enter Material Cost, Hours/Unit, and Units/Week. Override Wage or Markup per row if one service is premium.</t>
  </si>
  <si>
    <t>STEP 4 — Check Pricing</t>
  </si>
  <si>
    <t>Pricing sheet calculates your Suggested Price (which now includes allocated overhead per unit). Enter real Market Prices in column K.</t>
  </si>
  <si>
    <t>STEP 5 — Read the Reality Check</t>
  </si>
  <si>
    <t>Column L = Effective $/hr at market price. Column M = Viable or Below wage target. If flagged, batch it, raise price, or cut it.</t>
  </si>
  <si>
    <t>STEP 6 — Check Projections</t>
  </si>
  <si>
    <t>Totals sheet shows weekly revenue, profit, gap to goal, and after-tax monthly profit. Green gap = on track. Red = adjust.</t>
  </si>
  <si>
    <t>STEP 7 — Run the Ramp-Up</t>
  </si>
  <si>
    <t>Ramp-Up sheet models Month 1–4 with conservative efficiency assumptions. Expect Month 1 to be negative — build a buffer.</t>
  </si>
  <si>
    <t>THE CORE FORMULA</t>
  </si>
  <si>
    <t>Suggested Price = (Hours × Wage + Materials + Allocated OH) × Markup
Overhead is now baked in per unit, not just a % guess.</t>
  </si>
  <si>
    <t>REALITY CHECK FORMULA</t>
  </si>
  <si>
    <t>Effective $/hr = (Market Price − Materials − OH/unit) ÷ Hours
This is the truth number — if it's below wage, that product doesn't work.</t>
  </si>
  <si>
    <t>MARKUP RANGE GUIDANCE</t>
  </si>
  <si>
    <t>1.6× = lean / competitive market | 1.7–1.8× = standard | 1.9–2.0× = premium or scarce product. Never go below 1.4× unless testing.</t>
  </si>
  <si>
    <t>RAMP-UP TRUTH</t>
  </si>
  <si>
    <t>Month 1 is almost always unprofitable. That's normal. The model shows you exactly when you break even so you can plan accordingly.</t>
  </si>
  <si>
    <t>single</t>
  </si>
  <si>
    <t>3D Star Fish</t>
  </si>
  <si>
    <t>3D Shell Purse 1</t>
  </si>
  <si>
    <t>3D Printer</t>
  </si>
  <si>
    <t>3D Filament</t>
  </si>
  <si>
    <t>oz</t>
  </si>
  <si>
    <t>g</t>
  </si>
  <si>
    <t>3D Shell Mug 1</t>
  </si>
  <si>
    <t>3D Flexi Nautilus</t>
  </si>
  <si>
    <t>3D Credit Wand</t>
  </si>
  <si>
    <t>3D Pencil Coozie</t>
  </si>
  <si>
    <t>PLA</t>
  </si>
  <si>
    <t>High rigidity</t>
  </si>
  <si>
    <t>Low</t>
  </si>
  <si>
    <t>Very low</t>
  </si>
  <si>
    <t>Poor</t>
  </si>
  <si>
    <t>Easiest</t>
  </si>
  <si>
    <t>Prototypes, models</t>
  </si>
  <si>
    <t>PETG</t>
  </si>
  <si>
    <t>Strong, slightly flexible</t>
  </si>
  <si>
    <t>Medium</t>
  </si>
  <si>
    <t>Low‑medium</t>
  </si>
  <si>
    <t>Good</t>
  </si>
  <si>
    <t>Easy‑medium</t>
  </si>
  <si>
    <t>Functional indoor parts</t>
  </si>
  <si>
    <t>ABS</t>
  </si>
  <si>
    <t>Strong</t>
  </si>
  <si>
    <t>High</t>
  </si>
  <si>
    <t>Hard (warps)</t>
  </si>
  <si>
    <t>Enclosed printers, automotive</t>
  </si>
  <si>
    <t>ASA</t>
  </si>
  <si>
    <t>Excellent</t>
  </si>
  <si>
    <t>Hard</t>
  </si>
  <si>
    <t>TPU</t>
  </si>
  <si>
    <t>Very high</t>
  </si>
  <si>
    <t>Flexible parts, gaskets</t>
  </si>
  <si>
    <t>PC (Polycarbonate)</t>
  </si>
  <si>
    <t>Very strong</t>
  </si>
  <si>
    <t>Mechanical parts</t>
  </si>
  <si>
    <t>PA (Nylon)</t>
  </si>
  <si>
    <t>Gears, wear parts</t>
  </si>
  <si>
    <t>PPS</t>
  </si>
  <si>
    <t>Extreme strength</t>
  </si>
  <si>
    <t>Extreme heat</t>
  </si>
  <si>
    <t>Very hard</t>
  </si>
  <si>
    <t>Strength</t>
  </si>
  <si>
    <t>Heat Resistance</t>
  </si>
  <si>
    <t>Flexibility</t>
  </si>
  <si>
    <t>UV/Weather</t>
  </si>
  <si>
    <t>Difficulty</t>
  </si>
  <si>
    <t>Best Use</t>
  </si>
  <si>
    <t>Industrial, chemical‑resistant parts</t>
  </si>
  <si>
    <t>Material Type</t>
  </si>
  <si>
    <t>Texture</t>
  </si>
  <si>
    <t>$ Spool</t>
  </si>
  <si>
    <t>$ Ounce</t>
  </si>
  <si>
    <t>Conversion Table</t>
  </si>
  <si>
    <t>Electrical packaging</t>
  </si>
  <si>
    <t>Outdoor parts, UV resistant</t>
  </si>
  <si>
    <t>Extra Flexible</t>
  </si>
  <si>
    <t>Perfect for shoe soles</t>
  </si>
  <si>
    <t>Mtrl Type</t>
  </si>
  <si>
    <t>PLA - Basic</t>
  </si>
  <si>
    <t>PLA - Matte</t>
  </si>
  <si>
    <t>PLA - Silk+</t>
  </si>
  <si>
    <t>PLA - Translcent</t>
  </si>
  <si>
    <t>PLA - Tough+</t>
  </si>
  <si>
    <t>PLA - 4pack - classic</t>
  </si>
  <si>
    <t>PLA - 4pack - cmk lthophase</t>
  </si>
  <si>
    <t>PLA - Multicolor Silk</t>
  </si>
  <si>
    <t>PLA - CF</t>
  </si>
  <si>
    <t>PLA - Basic - Gradient</t>
  </si>
  <si>
    <t>PLA - Sparkle</t>
  </si>
  <si>
    <t>PLA - Metal</t>
  </si>
  <si>
    <t>PLA - Marble</t>
  </si>
  <si>
    <t>PLA - Galaxy</t>
  </si>
  <si>
    <t>PLA - Wood</t>
  </si>
  <si>
    <t>PLA - PLA - Glow</t>
  </si>
  <si>
    <t>PLA - Aero</t>
  </si>
  <si>
    <t>PETG - Basic</t>
  </si>
  <si>
    <t>PETG - Translucent</t>
  </si>
  <si>
    <t>PETG - HF</t>
  </si>
  <si>
    <t>PETG - CF</t>
  </si>
  <si>
    <t>ABS - Basic</t>
  </si>
  <si>
    <t>ABS - GF</t>
  </si>
  <si>
    <t>ABS - CF</t>
  </si>
  <si>
    <t>ASA - Basic</t>
  </si>
  <si>
    <t>ASA - Aero</t>
  </si>
  <si>
    <t>ASA - CF</t>
  </si>
  <si>
    <t>TPU - AMS</t>
  </si>
  <si>
    <t>TPU - 95A HF</t>
  </si>
  <si>
    <t>TPU - 85A/90A</t>
  </si>
  <si>
    <t>PC - Basic</t>
  </si>
  <si>
    <t>PC - FR</t>
  </si>
  <si>
    <t>PA - CF</t>
  </si>
  <si>
    <t>PA - GF</t>
  </si>
  <si>
    <t>PPS - CF</t>
  </si>
  <si>
    <t>Mtrl Amt (g)</t>
  </si>
  <si>
    <t>$ Gram</t>
  </si>
  <si>
    <t>would be cool to make a carbon footprint estimator</t>
  </si>
  <si>
    <t>Each power draw per print</t>
  </si>
  <si>
    <t>50-150W, or even up to 250W for large prints</t>
  </si>
  <si>
    <t>0.05-0.15kWh (about)</t>
  </si>
  <si>
    <t>4 Hour Print costs about $0.06</t>
  </si>
  <si>
    <t>Rate of electricity = 0.16 /kWh</t>
  </si>
  <si>
    <t>3D Star Fish - Hand Painted</t>
  </si>
  <si>
    <t>3D Star Fish - Fancy</t>
  </si>
  <si>
    <t>3D Shell Purse 1 - Hand Painted</t>
  </si>
  <si>
    <t>3D Star Fish - Epic</t>
  </si>
  <si>
    <t>3D Shell Purse 1 - Fancy</t>
  </si>
  <si>
    <t>3D Shell Mug 1 - Fancy</t>
  </si>
  <si>
    <t>3D Flexi Nautilus - Fancy</t>
  </si>
  <si>
    <t>3D Credit Wand - Fancy</t>
  </si>
  <si>
    <t>3D Pencil Coozie - Fancy</t>
  </si>
  <si>
    <t>3D Articulated Octo</t>
  </si>
  <si>
    <t xml:space="preserve">3D D&amp;D </t>
  </si>
  <si>
    <t>per 1kg role</t>
  </si>
  <si>
    <t>per g</t>
  </si>
  <si>
    <t>per oz</t>
  </si>
  <si>
    <t>$0.02/hr * 40 hr/wk printing * 4.2 wk/mo</t>
  </si>
  <si>
    <t>Purchases</t>
  </si>
  <si>
    <t>Filament x4</t>
  </si>
  <si>
    <t>Filament x 14</t>
  </si>
  <si>
    <t>Cost</t>
  </si>
  <si>
    <t>Frequency</t>
  </si>
  <si>
    <t>Date</t>
  </si>
  <si>
    <t>Key Rings x 50</t>
  </si>
  <si>
    <t>Locktite x 4g</t>
  </si>
  <si>
    <t>Organizer</t>
  </si>
  <si>
    <t>L Desk</t>
  </si>
  <si>
    <t>3D Dad Keychain</t>
  </si>
  <si>
    <t>3D Dog Dad Key Chain</t>
  </si>
  <si>
    <t>3D Mama w Rose</t>
  </si>
  <si>
    <t>3D Canyon Rock</t>
  </si>
  <si>
    <t>3D Shell Soap - Md x 3</t>
  </si>
  <si>
    <t>Soap</t>
  </si>
  <si>
    <t>3D Shell Soap - X-Sm x 7</t>
  </si>
  <si>
    <t>Plant Vitamin</t>
  </si>
  <si>
    <t>3D Shell Plant Pot</t>
  </si>
  <si>
    <t>3D Display Bowl for Soaps</t>
  </si>
  <si>
    <t>3D Simple Tree Silloutte Bookends</t>
  </si>
  <si>
    <t>Electricity</t>
  </si>
  <si>
    <t>Key Rings</t>
  </si>
  <si>
    <t>Locktite</t>
  </si>
  <si>
    <t>Paint</t>
  </si>
  <si>
    <t>Time Plast</t>
  </si>
  <si>
    <t>Fire - Burnable</t>
  </si>
  <si>
    <t>Retroreflective</t>
  </si>
  <si>
    <t>TimeMass | Discover Innovative 3D Printing Solutions — Timeplast</t>
  </si>
  <si>
    <t>itsuka… one day</t>
  </si>
  <si>
    <t>3D Egg Yolk Toy</t>
  </si>
  <si>
    <t>3D Papa Keychain</t>
  </si>
  <si>
    <t>3D Cute Dragon Flex</t>
  </si>
  <si>
    <t>3D Horizontal Tripod</t>
  </si>
  <si>
    <t>$0.02/hr * 80 hr/wk printing * 4.2 wk/mo</t>
  </si>
  <si>
    <t>3D Coral Structure</t>
  </si>
  <si>
    <t>3D Grad Hat w Legs</t>
  </si>
  <si>
    <t>3D Coral Structure - Painted</t>
  </si>
  <si>
    <t>3D Organic Recycle Bin</t>
  </si>
  <si>
    <t>3D Bow</t>
  </si>
  <si>
    <t>💲  Raw Material Cost — Update Weekly/Monthy for Use in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</si>
</sst>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"/>
    <numFmt numFmtId="165" formatCode="0.0%"/>
    <numFmt numFmtId="166" formatCode="0.0&quot;%&quot;"/>
    <numFmt numFmtId="167" formatCode="0.000"/>
    <numFmt numFmtId="168" formatCode="0.0\ &quot;hrs&quot;"/>
    <numFmt numFmtId="169" formatCode="\$#,##0"/>
    <numFmt numFmtId="170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555555"/>
      <name val="Arial"/>
    </font>
    <font>
      <b/>
      <sz val="9"/>
      <color rgb="FFFFFFFF"/>
      <name val="Arial"/>
    </font>
    <font>
      <b/>
      <sz val="9"/>
      <color rgb="FF1A5C38"/>
      <name val="Arial"/>
    </font>
    <font>
      <b/>
      <sz val="10"/>
      <color rgb="FF000000"/>
      <name val="Arial"/>
    </font>
    <font>
      <sz val="10"/>
      <color rgb="FF0000FF"/>
      <name val="Arial"/>
    </font>
    <font>
      <sz val="10"/>
      <color rgb="FF007A33"/>
      <name val="Arial"/>
    </font>
    <font>
      <i/>
      <sz val="8"/>
      <color rgb="FFAAAAAA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1A5C38"/>
      <name val="Arial"/>
    </font>
    <font>
      <sz val="9"/>
      <color rgb="FF555555"/>
      <name val="Arial"/>
    </font>
    <font>
      <b/>
      <sz val="10"/>
      <color rgb="FFC0392B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555555"/>
      <name val="Arial"/>
      <family val="2"/>
    </font>
    <font>
      <sz val="10"/>
      <color rgb="FF0000FF"/>
      <name val="Arial"/>
      <family val="2"/>
    </font>
    <font>
      <sz val="10"/>
      <color rgb="FF007A33"/>
      <name val="Arial"/>
      <family val="2"/>
    </font>
    <font>
      <i/>
      <sz val="9"/>
      <color rgb="FF55555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A5C38"/>
      </patternFill>
    </fill>
    <fill>
      <patternFill patternType="solid">
        <fgColor rgb="FFF5F5F5"/>
      </patternFill>
    </fill>
    <fill>
      <patternFill patternType="solid">
        <fgColor rgb="FF2E7D52"/>
      </patternFill>
    </fill>
    <fill>
      <patternFill patternType="solid">
        <fgColor rgb="FFEAF4EE"/>
      </patternFill>
    </fill>
    <fill>
      <patternFill patternType="solid">
        <fgColor rgb="FFF2C94C"/>
      </patternFill>
    </fill>
    <fill>
      <patternFill patternType="solid">
        <fgColor rgb="FFFFFFFF"/>
      </patternFill>
    </fill>
    <fill>
      <patternFill patternType="solid">
        <fgColor rgb="FFEEEEEE"/>
      </patternFill>
    </fill>
    <fill>
      <patternFill patternType="solid">
        <fgColor rgb="FF1A3A5C"/>
      </patternFill>
    </fill>
    <fill>
      <patternFill patternType="solid">
        <fgColor rgb="FFEAF0FA"/>
      </patternFill>
    </fill>
    <fill>
      <patternFill patternType="solid">
        <fgColor rgb="FFE67E22"/>
      </patternFill>
    </fill>
    <fill>
      <patternFill patternType="solid">
        <fgColor rgb="FFFEF0E7"/>
      </patternFill>
    </fill>
    <fill>
      <patternFill patternType="solid">
        <fgColor rgb="FFFFF8CC"/>
      </patternFill>
    </fill>
    <fill>
      <patternFill patternType="solid">
        <fgColor rgb="FFC0392B"/>
      </patternFill>
    </fill>
    <fill>
      <patternFill patternType="solid">
        <fgColor rgb="FFFFD7D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1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64" fontId="6" fillId="13" borderId="1" xfId="0" applyNumberFormat="1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7" fontId="7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5" fontId="11" fillId="7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69" fontId="6" fillId="6" borderId="1" xfId="0" applyNumberFormat="1" applyFont="1" applyFill="1" applyBorder="1" applyAlignment="1">
      <alignment horizontal="center" vertical="center" wrapText="1"/>
    </xf>
    <xf numFmtId="169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9" fontId="11" fillId="7" borderId="1" xfId="0" applyNumberFormat="1" applyFont="1" applyFill="1" applyBorder="1" applyAlignment="1">
      <alignment horizontal="center" vertical="center" wrapText="1"/>
    </xf>
    <xf numFmtId="169" fontId="14" fillId="5" borderId="1" xfId="0" applyNumberFormat="1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164" fontId="10" fillId="9" borderId="1" xfId="0" applyNumberFormat="1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0" applyNumberFormat="1"/>
    <xf numFmtId="0" fontId="6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4" fontId="0" fillId="0" borderId="0" xfId="0" applyNumberFormat="1"/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166" fontId="20" fillId="12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 wrapText="1"/>
    </xf>
    <xf numFmtId="166" fontId="20" fillId="10" borderId="1" xfId="0" applyNumberFormat="1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left" vertical="center" wrapText="1"/>
    </xf>
    <xf numFmtId="164" fontId="22" fillId="16" borderId="1" xfId="0" applyNumberFormat="1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center" vertical="center" wrapText="1"/>
    </xf>
    <xf numFmtId="164" fontId="22" fillId="17" borderId="1" xfId="0" applyNumberFormat="1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164" fontId="20" fillId="5" borderId="1" xfId="0" applyNumberFormat="1" applyFont="1" applyFill="1" applyBorder="1" applyAlignment="1">
      <alignment horizontal="center" vertical="center" wrapText="1"/>
    </xf>
    <xf numFmtId="167" fontId="20" fillId="5" borderId="1" xfId="0" applyNumberFormat="1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24" fillId="0" borderId="0" xfId="1"/>
    <xf numFmtId="9" fontId="7" fillId="7" borderId="1" xfId="2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8" fillId="0" borderId="0" xfId="0" applyFont="1"/>
    <xf numFmtId="0" fontId="9" fillId="9" borderId="0" xfId="0" applyFont="1" applyFill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164" fontId="5" fillId="15" borderId="1" xfId="0" applyNumberFormat="1" applyFont="1" applyFill="1" applyBorder="1" applyAlignment="1">
      <alignment horizontal="center" vertical="center" wrapText="1"/>
    </xf>
    <xf numFmtId="168" fontId="5" fillId="13" borderId="1" xfId="0" applyNumberFormat="1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6"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FFD7D7"/>
        </patternFill>
      </fill>
    </dxf>
    <dxf>
      <fill>
        <patternFill patternType="solid">
          <fgColor rgb="FFD7F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jects/MicroStep/BoutiquePath/BoutiquePath_Revenue_Model_lost.xlsb" TargetMode="External"/><Relationship Id="rId2" Type="http://schemas.openxmlformats.org/officeDocument/2006/relationships/externalLinkPath" Target="file:///C:\Projects\MicroStep\BoutiquePath\BoutiquePath_Revenue_Model_lost.xlsb" TargetMode="External"/><Relationship Id="rId1" Type="http://schemas.openxmlformats.org/officeDocument/2006/relationships/externalLinkPath" Target="/Projects/MicroStep/BoutiquePath/BoutiquePath_Revenue_Model_lost.xlsb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jects/MicroStep/BoutiquePath/BoutiquePath_Revenue_Model_v2%20(check).xlsx" TargetMode="External"/><Relationship Id="rId2" Type="http://schemas.openxmlformats.org/officeDocument/2006/relationships/externalLinkPath" Target="file:///C:\Projects\MicroStep\BoutiquePath\BoutiquePath_Revenue_Model_v2%20(check).xlsx" TargetMode="External"/><Relationship Id="rId1" Type="http://schemas.openxmlformats.org/officeDocument/2006/relationships/externalLinkPath" Target="/Projects/MicroStep/BoutiquePath/BoutiquePath_Revenue_Model_v2%20(chec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s"/>
      <sheetName val="Overhead"/>
      <sheetName val="Filament"/>
      <sheetName val="Products"/>
      <sheetName val="Pricing"/>
      <sheetName val="Projections"/>
      <sheetName val="Ramp-Up"/>
      <sheetName val="Guide"/>
    </sheetNames>
    <sheetDataSet>
      <sheetData sheetId="0">
        <row r="11">
          <cell r="B11">
            <v>800</v>
          </cell>
        </row>
      </sheetData>
      <sheetData sheetId="1"/>
      <sheetData sheetId="2">
        <row r="1">
          <cell r="H1"/>
          <cell r="J1"/>
        </row>
        <row r="2">
          <cell r="H2"/>
        </row>
        <row r="3">
          <cell r="H3" t="str">
            <v>Texture</v>
          </cell>
          <cell r="J3" t="str">
            <v>$ Gram</v>
          </cell>
        </row>
        <row r="4">
          <cell r="H4" t="str">
            <v>PLA - Basic</v>
          </cell>
          <cell r="J4">
            <v>1.299E-2</v>
          </cell>
        </row>
        <row r="5">
          <cell r="H5" t="str">
            <v>PLA - Matte</v>
          </cell>
          <cell r="J5">
            <v>1.299E-2</v>
          </cell>
        </row>
        <row r="6">
          <cell r="H6" t="str">
            <v>PLA - Silk+</v>
          </cell>
          <cell r="J6">
            <v>1.299E-2</v>
          </cell>
        </row>
        <row r="7">
          <cell r="H7" t="str">
            <v>PLA - Translcent</v>
          </cell>
          <cell r="J7">
            <v>1.494E-2</v>
          </cell>
        </row>
        <row r="8">
          <cell r="H8" t="str">
            <v>PLA - Tough+</v>
          </cell>
          <cell r="J8">
            <v>2.0989999999999998E-2</v>
          </cell>
        </row>
        <row r="9">
          <cell r="H9" t="str">
            <v>PLA - 4pack - classic</v>
          </cell>
          <cell r="J9">
            <v>1.6497499999999998E-2</v>
          </cell>
        </row>
        <row r="10">
          <cell r="H10" t="str">
            <v>PLA - 4pack - cmk lthophase</v>
          </cell>
          <cell r="J10">
            <v>1.6497499999999998E-2</v>
          </cell>
        </row>
        <row r="11">
          <cell r="H11" t="str">
            <v>PLA - Multicolor Silk</v>
          </cell>
          <cell r="J11">
            <v>2.4989999999999998E-2</v>
          </cell>
        </row>
        <row r="12">
          <cell r="H12" t="str">
            <v>PLA - CF</v>
          </cell>
          <cell r="J12">
            <v>3.1989999999999998E-2</v>
          </cell>
        </row>
        <row r="13">
          <cell r="H13" t="str">
            <v>PLA - Basic - Gradient</v>
          </cell>
          <cell r="J13">
            <v>2.4989999999999998E-2</v>
          </cell>
        </row>
        <row r="14">
          <cell r="H14" t="str">
            <v>PLA - Sparkle</v>
          </cell>
          <cell r="J14">
            <v>2.4989999999999998E-2</v>
          </cell>
        </row>
        <row r="15">
          <cell r="H15" t="str">
            <v>PLA - Metal</v>
          </cell>
          <cell r="J15">
            <v>2.4989999999999998E-2</v>
          </cell>
        </row>
        <row r="16">
          <cell r="H16" t="str">
            <v>PLA - Marble</v>
          </cell>
          <cell r="J16">
            <v>2.4989999999999998E-2</v>
          </cell>
        </row>
        <row r="17">
          <cell r="H17" t="str">
            <v>PLA - Galaxy</v>
          </cell>
          <cell r="J17">
            <v>2.4989999999999998E-2</v>
          </cell>
        </row>
        <row r="18">
          <cell r="H18" t="str">
            <v>PLA - Wood</v>
          </cell>
          <cell r="J18">
            <v>2.4989999999999998E-2</v>
          </cell>
        </row>
        <row r="19">
          <cell r="H19" t="str">
            <v>PLA - PLA - Glow</v>
          </cell>
          <cell r="J19">
            <v>2.4989999999999998E-2</v>
          </cell>
        </row>
        <row r="20">
          <cell r="H20" t="str">
            <v>PLA - Aero</v>
          </cell>
          <cell r="J20">
            <v>4.4990000000000002E-2</v>
          </cell>
        </row>
        <row r="21">
          <cell r="H21"/>
          <cell r="J21">
            <v>0</v>
          </cell>
        </row>
        <row r="22">
          <cell r="H22" t="str">
            <v>PETG - Basic</v>
          </cell>
          <cell r="J22">
            <v>1.299E-2</v>
          </cell>
        </row>
        <row r="23">
          <cell r="H23" t="str">
            <v>PETG - Translucent</v>
          </cell>
          <cell r="J23">
            <v>1.299E-2</v>
          </cell>
        </row>
        <row r="24">
          <cell r="H24" t="str">
            <v>PETG - HF</v>
          </cell>
          <cell r="J24">
            <v>1.299E-2</v>
          </cell>
        </row>
        <row r="25">
          <cell r="H25" t="str">
            <v>PETG - CF</v>
          </cell>
          <cell r="J25">
            <v>3.1989999999999998E-2</v>
          </cell>
        </row>
        <row r="26">
          <cell r="H26"/>
          <cell r="J26">
            <v>0</v>
          </cell>
        </row>
        <row r="27">
          <cell r="H27" t="str">
            <v>ABS - Basic</v>
          </cell>
          <cell r="J27">
            <v>1.299E-2</v>
          </cell>
        </row>
        <row r="28">
          <cell r="H28" t="str">
            <v>ABS - GF</v>
          </cell>
          <cell r="J28">
            <v>2.9899999999999999E-2</v>
          </cell>
        </row>
        <row r="29">
          <cell r="H29" t="str">
            <v>ABS - CF</v>
          </cell>
          <cell r="J29">
            <v>3.6899999999999995E-2</v>
          </cell>
        </row>
        <row r="30">
          <cell r="H30"/>
          <cell r="J30">
            <v>0</v>
          </cell>
        </row>
        <row r="31">
          <cell r="H31" t="str">
            <v>ASA - Basic</v>
          </cell>
          <cell r="J31">
            <v>2.9989999999999999E-2</v>
          </cell>
        </row>
        <row r="32">
          <cell r="H32" t="str">
            <v>ASA - Aero</v>
          </cell>
          <cell r="J32">
            <v>4.999E-2</v>
          </cell>
        </row>
        <row r="33">
          <cell r="H33" t="str">
            <v>ASA - CF</v>
          </cell>
          <cell r="J33">
            <v>3.6990000000000002E-2</v>
          </cell>
        </row>
        <row r="34">
          <cell r="H34"/>
          <cell r="J34">
            <v>0</v>
          </cell>
        </row>
        <row r="35">
          <cell r="H35" t="str">
            <v>TPU - AMS</v>
          </cell>
          <cell r="J35">
            <v>3.499E-2</v>
          </cell>
        </row>
        <row r="36">
          <cell r="H36" t="str">
            <v>TPU - 95A HF</v>
          </cell>
          <cell r="J36">
            <v>4.199E-2</v>
          </cell>
        </row>
        <row r="37">
          <cell r="H37" t="str">
            <v>TPU - 85A/90A</v>
          </cell>
          <cell r="J37">
            <v>4.199E-2</v>
          </cell>
        </row>
        <row r="38">
          <cell r="H38"/>
          <cell r="J38">
            <v>0</v>
          </cell>
        </row>
        <row r="39">
          <cell r="H39" t="str">
            <v>PC - Basic</v>
          </cell>
          <cell r="J39">
            <v>3.9990000000000005E-2</v>
          </cell>
        </row>
        <row r="40">
          <cell r="H40" t="str">
            <v>PC - FR</v>
          </cell>
          <cell r="J40">
            <v>5.4990000000000004E-2</v>
          </cell>
        </row>
        <row r="41">
          <cell r="H41"/>
          <cell r="J41">
            <v>0</v>
          </cell>
        </row>
        <row r="42">
          <cell r="H42" t="str">
            <v>PA - CF</v>
          </cell>
          <cell r="J42">
            <v>4.299E-2</v>
          </cell>
        </row>
        <row r="43">
          <cell r="H43" t="str">
            <v>PA - GF</v>
          </cell>
          <cell r="J43">
            <v>5.9990000000000002E-2</v>
          </cell>
        </row>
        <row r="44">
          <cell r="H44"/>
          <cell r="J44">
            <v>0</v>
          </cell>
        </row>
        <row r="45">
          <cell r="H45" t="str">
            <v>PPS - CF</v>
          </cell>
          <cell r="J45">
            <v>0.12999000000000002</v>
          </cell>
        </row>
        <row r="46">
          <cell r="H46"/>
          <cell r="J46">
            <v>0</v>
          </cell>
        </row>
        <row r="47">
          <cell r="H47"/>
          <cell r="J47">
            <v>0</v>
          </cell>
        </row>
        <row r="48">
          <cell r="H48"/>
          <cell r="J48">
            <v>0</v>
          </cell>
        </row>
        <row r="49">
          <cell r="H49"/>
          <cell r="J49">
            <v>0</v>
          </cell>
        </row>
        <row r="50">
          <cell r="H50"/>
          <cell r="J50">
            <v>0</v>
          </cell>
        </row>
        <row r="51">
          <cell r="H51"/>
          <cell r="J51">
            <v>0</v>
          </cell>
        </row>
        <row r="52">
          <cell r="H52"/>
          <cell r="J52">
            <v>0</v>
          </cell>
        </row>
        <row r="53">
          <cell r="H53"/>
          <cell r="J53">
            <v>0</v>
          </cell>
        </row>
        <row r="54">
          <cell r="H54"/>
          <cell r="J54">
            <v>0</v>
          </cell>
        </row>
        <row r="55">
          <cell r="H55"/>
          <cell r="J55">
            <v>0</v>
          </cell>
        </row>
        <row r="56">
          <cell r="H56"/>
          <cell r="J56">
            <v>0</v>
          </cell>
        </row>
        <row r="57">
          <cell r="H57"/>
          <cell r="J57">
            <v>0</v>
          </cell>
        </row>
        <row r="58">
          <cell r="H58"/>
          <cell r="J58">
            <v>0</v>
          </cell>
        </row>
        <row r="59">
          <cell r="H59"/>
          <cell r="J59">
            <v>0</v>
          </cell>
        </row>
        <row r="60">
          <cell r="H60"/>
          <cell r="J60">
            <v>0</v>
          </cell>
        </row>
        <row r="61">
          <cell r="H61"/>
          <cell r="J61">
            <v>0</v>
          </cell>
        </row>
        <row r="62">
          <cell r="H62"/>
          <cell r="J62">
            <v>0</v>
          </cell>
        </row>
        <row r="63">
          <cell r="H63"/>
          <cell r="J63">
            <v>0</v>
          </cell>
        </row>
        <row r="64">
          <cell r="H64"/>
          <cell r="J64">
            <v>0</v>
          </cell>
        </row>
        <row r="65">
          <cell r="H65"/>
          <cell r="J65">
            <v>0</v>
          </cell>
        </row>
        <row r="66">
          <cell r="H66"/>
          <cell r="J66">
            <v>0</v>
          </cell>
        </row>
        <row r="67">
          <cell r="H67"/>
          <cell r="J67">
            <v>0</v>
          </cell>
        </row>
        <row r="68">
          <cell r="H68"/>
          <cell r="J68">
            <v>0</v>
          </cell>
        </row>
        <row r="69">
          <cell r="H69"/>
          <cell r="J69">
            <v>0</v>
          </cell>
        </row>
        <row r="70">
          <cell r="H70"/>
          <cell r="J70">
            <v>0</v>
          </cell>
        </row>
        <row r="71">
          <cell r="H71"/>
          <cell r="J71">
            <v>0</v>
          </cell>
        </row>
        <row r="72">
          <cell r="H72"/>
          <cell r="J72">
            <v>0</v>
          </cell>
        </row>
        <row r="73">
          <cell r="H73"/>
          <cell r="J73">
            <v>0</v>
          </cell>
        </row>
        <row r="74">
          <cell r="H74"/>
          <cell r="J74">
            <v>0</v>
          </cell>
        </row>
        <row r="75">
          <cell r="H75"/>
          <cell r="J75">
            <v>0</v>
          </cell>
        </row>
        <row r="76">
          <cell r="H76"/>
          <cell r="J76">
            <v>0</v>
          </cell>
        </row>
        <row r="77">
          <cell r="H77"/>
          <cell r="J77">
            <v>0</v>
          </cell>
        </row>
        <row r="78">
          <cell r="H78"/>
          <cell r="J78">
            <v>0</v>
          </cell>
        </row>
        <row r="79">
          <cell r="H79"/>
          <cell r="J79">
            <v>0</v>
          </cell>
        </row>
        <row r="80">
          <cell r="H80"/>
          <cell r="J80">
            <v>0</v>
          </cell>
        </row>
        <row r="81">
          <cell r="H81"/>
          <cell r="J81">
            <v>0</v>
          </cell>
        </row>
        <row r="82">
          <cell r="H82"/>
          <cell r="J82">
            <v>0</v>
          </cell>
        </row>
        <row r="83">
          <cell r="H83"/>
          <cell r="J83">
            <v>0</v>
          </cell>
        </row>
        <row r="84">
          <cell r="H84"/>
          <cell r="J84">
            <v>0</v>
          </cell>
        </row>
        <row r="85">
          <cell r="H85"/>
          <cell r="J8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s"/>
      <sheetName val="Overhead"/>
      <sheetName val="Filament"/>
      <sheetName val="Products"/>
      <sheetName val="Pricing"/>
      <sheetName val="Projections"/>
      <sheetName val="Ramp-Up"/>
      <sheetName val="Guide"/>
    </sheetNames>
    <sheetDataSet>
      <sheetData sheetId="0" refreshError="1"/>
      <sheetData sheetId="1" refreshError="1"/>
      <sheetData sheetId="2">
        <row r="3">
          <cell r="H3" t="str">
            <v>Texture</v>
          </cell>
          <cell r="J3" t="str">
            <v>$ Gram</v>
          </cell>
        </row>
        <row r="4">
          <cell r="H4" t="str">
            <v>PLA - Basic</v>
          </cell>
          <cell r="J4">
            <v>1.299E-2</v>
          </cell>
        </row>
        <row r="5">
          <cell r="H5" t="str">
            <v>PLA - Matte</v>
          </cell>
          <cell r="J5">
            <v>1.299E-2</v>
          </cell>
        </row>
        <row r="6">
          <cell r="H6" t="str">
            <v>PLA - Silk+</v>
          </cell>
          <cell r="J6">
            <v>1.299E-2</v>
          </cell>
        </row>
        <row r="7">
          <cell r="H7" t="str">
            <v>PLA - Translcent</v>
          </cell>
          <cell r="J7">
            <v>1.494E-2</v>
          </cell>
        </row>
        <row r="8">
          <cell r="H8" t="str">
            <v>PLA - Tough+</v>
          </cell>
          <cell r="J8">
            <v>2.0989999999999998E-2</v>
          </cell>
        </row>
        <row r="9">
          <cell r="H9" t="str">
            <v>PLA - 4pack - classic</v>
          </cell>
          <cell r="J9">
            <v>1.6497499999999998E-2</v>
          </cell>
        </row>
        <row r="10">
          <cell r="H10" t="str">
            <v>PLA - 4pack - cmk lthophase</v>
          </cell>
          <cell r="J10">
            <v>1.6497499999999998E-2</v>
          </cell>
        </row>
        <row r="11">
          <cell r="H11" t="str">
            <v>PLA - Multicolor Silk</v>
          </cell>
          <cell r="J11">
            <v>2.4989999999999998E-2</v>
          </cell>
        </row>
        <row r="12">
          <cell r="H12" t="str">
            <v>PLA - CF (carbon fiber feel)</v>
          </cell>
          <cell r="J12">
            <v>3.1989999999999998E-2</v>
          </cell>
        </row>
        <row r="13">
          <cell r="H13" t="str">
            <v>PLA - Basic - Gradient</v>
          </cell>
          <cell r="J13">
            <v>2.4989999999999998E-2</v>
          </cell>
        </row>
        <row r="14">
          <cell r="H14" t="str">
            <v>PLA - Sparkle</v>
          </cell>
          <cell r="J14">
            <v>2.4989999999999998E-2</v>
          </cell>
        </row>
        <row r="15">
          <cell r="H15" t="str">
            <v>PLA - Metal</v>
          </cell>
          <cell r="J15">
            <v>2.4989999999999998E-2</v>
          </cell>
        </row>
        <row r="16">
          <cell r="H16" t="str">
            <v>PLA - Marble</v>
          </cell>
          <cell r="J16">
            <v>2.4989999999999998E-2</v>
          </cell>
        </row>
        <row r="17">
          <cell r="H17" t="str">
            <v>PLA - Galaxy</v>
          </cell>
          <cell r="J17">
            <v>2.4989999999999998E-2</v>
          </cell>
        </row>
        <row r="18">
          <cell r="H18" t="str">
            <v>PLA - Wood</v>
          </cell>
          <cell r="J18">
            <v>2.4989999999999998E-2</v>
          </cell>
        </row>
        <row r="19">
          <cell r="H19" t="str">
            <v>PLA - PLA - Glow</v>
          </cell>
          <cell r="J19">
            <v>2.4989999999999998E-2</v>
          </cell>
        </row>
        <row r="20">
          <cell r="H20" t="str">
            <v>PLA - Aero</v>
          </cell>
          <cell r="J20">
            <v>4.4990000000000002E-2</v>
          </cell>
        </row>
        <row r="21">
          <cell r="J21">
            <v>0</v>
          </cell>
        </row>
        <row r="22">
          <cell r="H22" t="str">
            <v>PETG - Basic</v>
          </cell>
          <cell r="J22">
            <v>1.299E-2</v>
          </cell>
        </row>
        <row r="23">
          <cell r="H23" t="str">
            <v>PETG - Translucent</v>
          </cell>
          <cell r="J23">
            <v>1.299E-2</v>
          </cell>
        </row>
        <row r="24">
          <cell r="H24" t="str">
            <v>PETG - HF</v>
          </cell>
          <cell r="J24">
            <v>1.299E-2</v>
          </cell>
        </row>
        <row r="25">
          <cell r="H25" t="str">
            <v>PETG - CF</v>
          </cell>
          <cell r="J25">
            <v>3.1989999999999998E-2</v>
          </cell>
        </row>
        <row r="26">
          <cell r="J26">
            <v>0</v>
          </cell>
        </row>
        <row r="27">
          <cell r="H27" t="str">
            <v>ABS - Basic</v>
          </cell>
          <cell r="J27">
            <v>1.299E-2</v>
          </cell>
        </row>
        <row r="28">
          <cell r="H28" t="str">
            <v>ABS - GF</v>
          </cell>
          <cell r="J28">
            <v>2.9899999999999999E-2</v>
          </cell>
        </row>
        <row r="29">
          <cell r="H29" t="str">
            <v>ABS - CF</v>
          </cell>
          <cell r="J29">
            <v>3.6899999999999995E-2</v>
          </cell>
        </row>
        <row r="30">
          <cell r="J30">
            <v>0</v>
          </cell>
        </row>
        <row r="31">
          <cell r="H31" t="str">
            <v>ASA - Basic</v>
          </cell>
          <cell r="J31">
            <v>2.9989999999999999E-2</v>
          </cell>
        </row>
        <row r="32">
          <cell r="H32" t="str">
            <v>ASA - Aero</v>
          </cell>
          <cell r="J32">
            <v>4.999E-2</v>
          </cell>
        </row>
        <row r="33">
          <cell r="H33" t="str">
            <v>ASA - CF</v>
          </cell>
          <cell r="J33">
            <v>3.6990000000000002E-2</v>
          </cell>
        </row>
        <row r="34">
          <cell r="J34">
            <v>0</v>
          </cell>
        </row>
        <row r="35">
          <cell r="H35" t="str">
            <v>TPU - AMS</v>
          </cell>
          <cell r="J35">
            <v>3.499E-2</v>
          </cell>
        </row>
        <row r="36">
          <cell r="H36" t="str">
            <v>TPU - 95A HF</v>
          </cell>
          <cell r="J36">
            <v>4.199E-2</v>
          </cell>
        </row>
        <row r="37">
          <cell r="H37" t="str">
            <v>TPU - 85A/90A</v>
          </cell>
          <cell r="J37">
            <v>4.199E-2</v>
          </cell>
        </row>
        <row r="38">
          <cell r="J38">
            <v>0</v>
          </cell>
        </row>
        <row r="39">
          <cell r="H39" t="str">
            <v>PC - Basic</v>
          </cell>
          <cell r="J39">
            <v>3.9990000000000005E-2</v>
          </cell>
        </row>
        <row r="40">
          <cell r="H40" t="str">
            <v>PC - FR</v>
          </cell>
          <cell r="J40">
            <v>5.4990000000000004E-2</v>
          </cell>
        </row>
        <row r="41">
          <cell r="J41">
            <v>0</v>
          </cell>
        </row>
        <row r="42">
          <cell r="H42" t="str">
            <v>PA - CF</v>
          </cell>
          <cell r="J42">
            <v>4.299E-2</v>
          </cell>
        </row>
        <row r="43">
          <cell r="H43" t="str">
            <v>PA - GF</v>
          </cell>
          <cell r="J43">
            <v>5.9990000000000002E-2</v>
          </cell>
        </row>
        <row r="44">
          <cell r="J44">
            <v>0</v>
          </cell>
        </row>
        <row r="45">
          <cell r="H45" t="str">
            <v>PPS - CF</v>
          </cell>
          <cell r="J45">
            <v>0.12999000000000002</v>
          </cell>
        </row>
        <row r="46">
          <cell r="J46">
            <v>0</v>
          </cell>
        </row>
        <row r="47">
          <cell r="H47" t="str">
            <v>Soap</v>
          </cell>
          <cell r="J47">
            <v>5.7114285714285715E-2</v>
          </cell>
        </row>
        <row r="48">
          <cell r="H48" t="str">
            <v>Fire - Burnable</v>
          </cell>
          <cell r="J48">
            <v>5.7114285714285715E-2</v>
          </cell>
        </row>
        <row r="49">
          <cell r="H49" t="str">
            <v>Plant Vitamin</v>
          </cell>
          <cell r="J49">
            <v>7.1399999999999991E-2</v>
          </cell>
        </row>
        <row r="50">
          <cell r="H50" t="str">
            <v>Retroreflective</v>
          </cell>
          <cell r="J50">
            <v>0.11425714285714286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meplast.com/timema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5C38"/>
  </sheetPr>
  <dimension ref="A1:C18"/>
  <sheetViews>
    <sheetView workbookViewId="0">
      <selection activeCell="A6" sqref="A6"/>
    </sheetView>
  </sheetViews>
  <sheetFormatPr defaultRowHeight="14.5" x14ac:dyDescent="0.35"/>
  <cols>
    <col min="1" max="1" width="40" customWidth="1"/>
    <col min="2" max="2" width="18" customWidth="1"/>
    <col min="3" max="3" width="44" customWidth="1"/>
  </cols>
  <sheetData>
    <row r="1" spans="1:3" ht="28" customHeight="1" x14ac:dyDescent="0.35">
      <c r="A1" s="90" t="s">
        <v>0</v>
      </c>
      <c r="B1" s="88"/>
      <c r="C1" s="88"/>
    </row>
    <row r="2" spans="1:3" ht="18" customHeight="1" x14ac:dyDescent="0.35">
      <c r="A2" s="87" t="s">
        <v>1</v>
      </c>
      <c r="B2" s="88"/>
      <c r="C2" s="88"/>
    </row>
    <row r="3" spans="1:3" ht="36" customHeight="1" x14ac:dyDescent="0.35">
      <c r="A3" s="1" t="s">
        <v>2</v>
      </c>
      <c r="B3" s="1" t="s">
        <v>3</v>
      </c>
      <c r="C3" s="1" t="s">
        <v>4</v>
      </c>
    </row>
    <row r="4" spans="1:3" ht="16" customHeight="1" x14ac:dyDescent="0.35">
      <c r="A4" s="91" t="s">
        <v>5</v>
      </c>
      <c r="B4" s="92"/>
      <c r="C4" s="93"/>
    </row>
    <row r="5" spans="1:3" ht="22" customHeight="1" x14ac:dyDescent="0.35">
      <c r="A5" s="2" t="s">
        <v>6</v>
      </c>
      <c r="B5" s="3">
        <v>30</v>
      </c>
      <c r="C5" s="4" t="s">
        <v>7</v>
      </c>
    </row>
    <row r="6" spans="1:3" ht="22" customHeight="1" x14ac:dyDescent="0.35">
      <c r="A6" s="5" t="s">
        <v>8</v>
      </c>
      <c r="B6" s="6">
        <v>1.6</v>
      </c>
      <c r="C6" s="7" t="s">
        <v>9</v>
      </c>
    </row>
    <row r="7" spans="1:3" ht="22" customHeight="1" x14ac:dyDescent="0.35">
      <c r="A7" s="2" t="s">
        <v>10</v>
      </c>
      <c r="B7" s="6">
        <v>2</v>
      </c>
      <c r="C7" s="4" t="s">
        <v>11</v>
      </c>
    </row>
    <row r="8" spans="1:3" ht="22" customHeight="1" x14ac:dyDescent="0.35">
      <c r="A8" s="5" t="s">
        <v>12</v>
      </c>
      <c r="B8" s="6">
        <v>1.7</v>
      </c>
      <c r="C8" s="7" t="s">
        <v>13</v>
      </c>
    </row>
    <row r="9" spans="1:3" ht="16" customHeight="1" x14ac:dyDescent="0.35">
      <c r="A9" s="91" t="s">
        <v>14</v>
      </c>
      <c r="B9" s="92"/>
      <c r="C9" s="93"/>
    </row>
    <row r="10" spans="1:3" ht="22" customHeight="1" x14ac:dyDescent="0.35">
      <c r="A10" s="5" t="s">
        <v>15</v>
      </c>
      <c r="B10" s="53">
        <v>20</v>
      </c>
      <c r="C10" s="7" t="s">
        <v>16</v>
      </c>
    </row>
    <row r="11" spans="1:3" ht="22" customHeight="1" x14ac:dyDescent="0.35">
      <c r="A11" s="2" t="s">
        <v>17</v>
      </c>
      <c r="B11" s="3">
        <v>800</v>
      </c>
      <c r="C11" s="4" t="s">
        <v>18</v>
      </c>
    </row>
    <row r="12" spans="1:3" ht="16" customHeight="1" x14ac:dyDescent="0.35">
      <c r="A12" s="91" t="s">
        <v>19</v>
      </c>
      <c r="B12" s="92"/>
      <c r="C12" s="93"/>
    </row>
    <row r="13" spans="1:3" ht="22" customHeight="1" x14ac:dyDescent="0.35">
      <c r="A13" s="2" t="s">
        <v>20</v>
      </c>
      <c r="B13" s="8">
        <f>Overhead!F24</f>
        <v>252.33999999999997</v>
      </c>
      <c r="C13" s="4" t="s">
        <v>21</v>
      </c>
    </row>
    <row r="14" spans="1:3" ht="22" customHeight="1" x14ac:dyDescent="0.35">
      <c r="A14" s="5" t="s">
        <v>22</v>
      </c>
      <c r="B14" s="3">
        <v>0.05</v>
      </c>
      <c r="C14" s="7" t="s">
        <v>23</v>
      </c>
    </row>
    <row r="15" spans="1:3" ht="16" customHeight="1" x14ac:dyDescent="0.35">
      <c r="A15" s="91" t="s">
        <v>24</v>
      </c>
      <c r="B15" s="92"/>
      <c r="C15" s="93"/>
    </row>
    <row r="16" spans="1:3" ht="22" customHeight="1" x14ac:dyDescent="0.35">
      <c r="A16" s="5" t="s">
        <v>25</v>
      </c>
      <c r="B16" s="9">
        <v>0.15</v>
      </c>
      <c r="C16" s="7" t="s">
        <v>26</v>
      </c>
    </row>
    <row r="18" spans="1:3" ht="14" customHeight="1" x14ac:dyDescent="0.35">
      <c r="A18" s="94" t="s">
        <v>27</v>
      </c>
      <c r="B18" s="88"/>
      <c r="C18" s="88"/>
    </row>
  </sheetData>
  <mergeCells count="7">
    <mergeCell ref="A1:C1"/>
    <mergeCell ref="A9:C9"/>
    <mergeCell ref="A18:C18"/>
    <mergeCell ref="A12:C12"/>
    <mergeCell ref="A4:C4"/>
    <mergeCell ref="A2:C2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3A5C"/>
  </sheetPr>
  <dimension ref="A1:J30"/>
  <sheetViews>
    <sheetView workbookViewId="0">
      <selection activeCell="E14" sqref="E14"/>
    </sheetView>
  </sheetViews>
  <sheetFormatPr defaultRowHeight="14.5" x14ac:dyDescent="0.35"/>
  <cols>
    <col min="1" max="1" width="28" customWidth="1"/>
    <col min="2" max="3" width="16" customWidth="1"/>
    <col min="4" max="4" width="14" customWidth="1"/>
    <col min="5" max="5" width="36" customWidth="1"/>
    <col min="6" max="6" width="9.08984375" bestFit="1" customWidth="1"/>
    <col min="7" max="7" width="9.453125" bestFit="1" customWidth="1"/>
    <col min="8" max="8" width="17.1796875" customWidth="1"/>
  </cols>
  <sheetData>
    <row r="1" spans="1:10" ht="28" customHeight="1" x14ac:dyDescent="0.35">
      <c r="A1" s="95" t="s">
        <v>28</v>
      </c>
      <c r="B1" s="88"/>
      <c r="C1" s="88"/>
      <c r="D1" s="88"/>
      <c r="E1" s="88"/>
    </row>
    <row r="2" spans="1:10" ht="18" customHeight="1" x14ac:dyDescent="0.35">
      <c r="A2" s="87" t="s">
        <v>29</v>
      </c>
      <c r="B2" s="88"/>
      <c r="C2" s="88"/>
      <c r="D2" s="88"/>
      <c r="E2" s="88"/>
      <c r="G2" t="s">
        <v>272</v>
      </c>
      <c r="H2" t="s">
        <v>267</v>
      </c>
      <c r="I2" t="s">
        <v>270</v>
      </c>
      <c r="J2" t="s">
        <v>271</v>
      </c>
    </row>
    <row r="3" spans="1:10" ht="36" customHeight="1" x14ac:dyDescent="0.35">
      <c r="A3" s="10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I3" s="58"/>
    </row>
    <row r="4" spans="1:10" ht="20" customHeight="1" x14ac:dyDescent="0.35">
      <c r="A4" s="99" t="s">
        <v>35</v>
      </c>
      <c r="B4" s="92"/>
      <c r="C4" s="92"/>
      <c r="D4" s="92"/>
      <c r="E4" s="93"/>
      <c r="I4" s="58"/>
    </row>
    <row r="5" spans="1:10" ht="20" customHeight="1" x14ac:dyDescent="0.35">
      <c r="A5" s="68" t="s">
        <v>36</v>
      </c>
      <c r="B5" s="64">
        <v>20</v>
      </c>
      <c r="C5" s="69" t="s">
        <v>37</v>
      </c>
      <c r="D5" s="70">
        <f>IF(B5=0,"",B5/[1]Inputs!B11*100/4.33)</f>
        <v>0.57736720554272514</v>
      </c>
      <c r="E5" s="71" t="s">
        <v>38</v>
      </c>
      <c r="I5" s="58"/>
    </row>
    <row r="6" spans="1:10" ht="20" customHeight="1" x14ac:dyDescent="0.35">
      <c r="A6" s="68" t="s">
        <v>39</v>
      </c>
      <c r="B6" s="64">
        <v>0</v>
      </c>
      <c r="C6" s="69" t="s">
        <v>37</v>
      </c>
      <c r="D6" s="70" t="str">
        <f>IF(B6=0,"",B6/[1]Inputs!B11*100/4.33)</f>
        <v/>
      </c>
      <c r="E6" s="71" t="s">
        <v>40</v>
      </c>
      <c r="G6" s="57">
        <v>46142</v>
      </c>
      <c r="H6" t="s">
        <v>276</v>
      </c>
      <c r="I6" s="58">
        <v>69.7</v>
      </c>
      <c r="J6">
        <v>1</v>
      </c>
    </row>
    <row r="7" spans="1:10" ht="20" customHeight="1" x14ac:dyDescent="0.35">
      <c r="A7" s="68" t="s">
        <v>41</v>
      </c>
      <c r="B7" s="64">
        <v>20</v>
      </c>
      <c r="C7" s="69" t="s">
        <v>37</v>
      </c>
      <c r="D7" s="70">
        <f>IF(B7=0,"",B7/[1]Inputs!B11*100/4.33)</f>
        <v>0.57736720554272514</v>
      </c>
      <c r="E7" s="71" t="s">
        <v>42</v>
      </c>
      <c r="G7" s="57">
        <v>46145</v>
      </c>
      <c r="H7" t="s">
        <v>150</v>
      </c>
      <c r="I7" s="58">
        <v>386.04</v>
      </c>
      <c r="J7">
        <v>1</v>
      </c>
    </row>
    <row r="8" spans="1:10" ht="20" customHeight="1" x14ac:dyDescent="0.35">
      <c r="A8" s="68" t="s">
        <v>43</v>
      </c>
      <c r="B8" s="64">
        <v>20</v>
      </c>
      <c r="C8" s="69" t="s">
        <v>37</v>
      </c>
      <c r="D8" s="70">
        <f>IF(B8=0,"",B8/[1]Inputs!B11*100/4.33)</f>
        <v>0.57736720554272514</v>
      </c>
      <c r="E8" s="71" t="s">
        <v>44</v>
      </c>
      <c r="G8" s="57">
        <v>46146</v>
      </c>
      <c r="H8" t="s">
        <v>268</v>
      </c>
      <c r="I8" s="58">
        <v>50.87</v>
      </c>
      <c r="J8">
        <v>1</v>
      </c>
    </row>
    <row r="9" spans="1:10" ht="20" customHeight="1" x14ac:dyDescent="0.35">
      <c r="A9" s="68" t="s">
        <v>45</v>
      </c>
      <c r="B9" s="64">
        <v>0</v>
      </c>
      <c r="C9" s="69" t="s">
        <v>37</v>
      </c>
      <c r="D9" s="70" t="str">
        <f>IF(B9=0,"",B9/[1]Inputs!B11*100/4.33)</f>
        <v/>
      </c>
      <c r="E9" s="71" t="s">
        <v>46</v>
      </c>
      <c r="G9" s="57">
        <v>46147</v>
      </c>
      <c r="H9" t="s">
        <v>269</v>
      </c>
      <c r="I9" s="58">
        <f>207.39*1.0825</f>
        <v>224.499675</v>
      </c>
      <c r="J9">
        <v>1</v>
      </c>
    </row>
    <row r="10" spans="1:10" ht="20" customHeight="1" x14ac:dyDescent="0.35">
      <c r="A10" s="68" t="s">
        <v>47</v>
      </c>
      <c r="B10" s="64">
        <v>0</v>
      </c>
      <c r="C10" s="69" t="s">
        <v>37</v>
      </c>
      <c r="D10" s="70" t="str">
        <f>IF(B10=0,"",B10/[1]Inputs!B11*100/4.33)</f>
        <v/>
      </c>
      <c r="E10" s="71" t="s">
        <v>48</v>
      </c>
      <c r="G10" s="57">
        <v>46147</v>
      </c>
      <c r="H10" t="s">
        <v>273</v>
      </c>
      <c r="I10" s="58">
        <f>7.88*1.0825</f>
        <v>8.5301000000000009</v>
      </c>
      <c r="J10">
        <v>1</v>
      </c>
    </row>
    <row r="11" spans="1:10" ht="22" customHeight="1" x14ac:dyDescent="0.35">
      <c r="A11" s="96" t="s">
        <v>49</v>
      </c>
      <c r="B11" s="72">
        <f>SUM(B5:B10)</f>
        <v>60</v>
      </c>
      <c r="C11" s="73"/>
      <c r="D11" s="73"/>
      <c r="E11" s="73"/>
      <c r="G11" s="57">
        <v>46147</v>
      </c>
      <c r="H11" t="s">
        <v>274</v>
      </c>
      <c r="I11" s="58">
        <f>5.29*1.0825</f>
        <v>5.7264249999999999</v>
      </c>
      <c r="J11">
        <v>1</v>
      </c>
    </row>
    <row r="12" spans="1:10" ht="20" customHeight="1" x14ac:dyDescent="0.35">
      <c r="A12" s="98" t="s">
        <v>50</v>
      </c>
      <c r="B12" s="92"/>
      <c r="C12" s="92"/>
      <c r="D12" s="92"/>
      <c r="E12" s="93"/>
      <c r="G12" s="57">
        <v>46147</v>
      </c>
      <c r="H12" t="s">
        <v>275</v>
      </c>
      <c r="I12" s="58">
        <f>10.49*1.0825</f>
        <v>11.355425</v>
      </c>
      <c r="J12">
        <v>1</v>
      </c>
    </row>
    <row r="13" spans="1:10" ht="20" customHeight="1" x14ac:dyDescent="0.35">
      <c r="A13" s="63" t="s">
        <v>288</v>
      </c>
      <c r="B13" s="64">
        <f>0.02*80*4.2</f>
        <v>6.7200000000000006</v>
      </c>
      <c r="C13" s="65" t="s">
        <v>37</v>
      </c>
      <c r="D13" s="66">
        <f>IF(B13=0,"",B13/[1]Inputs!B11*100/4.33)</f>
        <v>0.19399538106235567</v>
      </c>
      <c r="E13" s="67" t="s">
        <v>301</v>
      </c>
    </row>
    <row r="14" spans="1:10" ht="20" customHeight="1" x14ac:dyDescent="0.35">
      <c r="A14" s="63" t="s">
        <v>151</v>
      </c>
      <c r="B14" s="64">
        <v>150</v>
      </c>
      <c r="C14" s="65" t="s">
        <v>37</v>
      </c>
      <c r="D14" s="66">
        <f>IF(B14=0,"",B14/[1]Inputs!B11*100/4.33)</f>
        <v>4.3302540415704387</v>
      </c>
      <c r="E14" s="67" t="s">
        <v>266</v>
      </c>
    </row>
    <row r="15" spans="1:10" ht="20" customHeight="1" x14ac:dyDescent="0.35">
      <c r="A15" s="63" t="s">
        <v>289</v>
      </c>
      <c r="B15" s="64">
        <v>8.5299999999999994</v>
      </c>
      <c r="C15" s="65" t="s">
        <v>37</v>
      </c>
      <c r="D15" s="66">
        <f>IF(B15=0,"",B15/[1]Inputs!B11*100/4.33)</f>
        <v>0.24624711316397227</v>
      </c>
      <c r="E15" s="67" t="s">
        <v>51</v>
      </c>
    </row>
    <row r="16" spans="1:10" ht="20" customHeight="1" x14ac:dyDescent="0.35">
      <c r="A16" s="63" t="s">
        <v>290</v>
      </c>
      <c r="B16" s="64">
        <v>5.73</v>
      </c>
      <c r="C16" s="65"/>
      <c r="D16" s="66"/>
      <c r="E16" s="67"/>
    </row>
    <row r="17" spans="1:8" ht="20" customHeight="1" x14ac:dyDescent="0.35">
      <c r="A17" s="63" t="s">
        <v>291</v>
      </c>
      <c r="B17" s="64">
        <v>10</v>
      </c>
      <c r="C17" s="65"/>
      <c r="D17" s="66"/>
      <c r="E17" s="67"/>
    </row>
    <row r="18" spans="1:8" ht="20" customHeight="1" x14ac:dyDescent="0.35">
      <c r="A18" s="63" t="s">
        <v>52</v>
      </c>
      <c r="B18" s="64">
        <v>11.36</v>
      </c>
      <c r="C18" s="65" t="s">
        <v>53</v>
      </c>
      <c r="D18" s="66">
        <f>IF(B18=0,"",B18/[1]Inputs!B11*100/4.33)</f>
        <v>0.32794457274826788</v>
      </c>
      <c r="E18" s="67" t="s">
        <v>54</v>
      </c>
    </row>
    <row r="19" spans="1:8" ht="22" customHeight="1" x14ac:dyDescent="0.35">
      <c r="A19" s="74" t="s">
        <v>55</v>
      </c>
      <c r="B19" s="75">
        <f>SUM(B13:B18)</f>
        <v>192.33999999999997</v>
      </c>
      <c r="C19" s="76"/>
      <c r="D19" s="76"/>
      <c r="E19" s="76"/>
    </row>
    <row r="20" spans="1:8" ht="8" customHeight="1" x14ac:dyDescent="0.35"/>
    <row r="21" spans="1:8" ht="24" customHeight="1" x14ac:dyDescent="0.35">
      <c r="A21" s="99" t="s">
        <v>56</v>
      </c>
      <c r="B21" s="92"/>
      <c r="C21" s="92"/>
      <c r="D21" s="92"/>
      <c r="E21" s="93"/>
      <c r="F21" s="48">
        <f>B11</f>
        <v>60</v>
      </c>
    </row>
    <row r="22" spans="1:8" ht="24" customHeight="1" x14ac:dyDescent="0.35">
      <c r="A22" s="98" t="s">
        <v>57</v>
      </c>
      <c r="B22" s="92"/>
      <c r="C22" s="92"/>
      <c r="D22" s="92"/>
      <c r="E22" s="93"/>
      <c r="F22" s="49">
        <f>B19</f>
        <v>192.33999999999997</v>
      </c>
    </row>
    <row r="23" spans="1:8" ht="6" customHeight="1" x14ac:dyDescent="0.35"/>
    <row r="24" spans="1:8" ht="24" customHeight="1" x14ac:dyDescent="0.35">
      <c r="A24" s="97" t="s">
        <v>58</v>
      </c>
      <c r="B24" s="92"/>
      <c r="C24" s="92"/>
      <c r="D24" s="92"/>
      <c r="E24" s="93"/>
      <c r="F24" s="50">
        <f>F21+F22</f>
        <v>252.33999999999997</v>
      </c>
    </row>
    <row r="25" spans="1:8" x14ac:dyDescent="0.35">
      <c r="H25" t="s">
        <v>246</v>
      </c>
    </row>
    <row r="26" spans="1:8" x14ac:dyDescent="0.35">
      <c r="H26" t="s">
        <v>247</v>
      </c>
    </row>
    <row r="27" spans="1:8" x14ac:dyDescent="0.35">
      <c r="H27" t="s">
        <v>248</v>
      </c>
    </row>
    <row r="28" spans="1:8" x14ac:dyDescent="0.35">
      <c r="H28" t="s">
        <v>249</v>
      </c>
    </row>
    <row r="29" spans="1:8" x14ac:dyDescent="0.35">
      <c r="H29" t="s">
        <v>251</v>
      </c>
    </row>
    <row r="30" spans="1:8" x14ac:dyDescent="0.35">
      <c r="H30" t="s">
        <v>250</v>
      </c>
    </row>
  </sheetData>
  <mergeCells count="8">
    <mergeCell ref="A1:E1"/>
    <mergeCell ref="A11"/>
    <mergeCell ref="A24:E24"/>
    <mergeCell ref="A12:E12"/>
    <mergeCell ref="A4:E4"/>
    <mergeCell ref="A22:E22"/>
    <mergeCell ref="A2:E2"/>
    <mergeCell ref="A21:E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D1F0-443D-4777-922F-4630DE38F826}">
  <sheetPr>
    <tabColor theme="7" tint="-0.499984740745262"/>
  </sheetPr>
  <dimension ref="A1:O86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I2"/>
    </sheetView>
  </sheetViews>
  <sheetFormatPr defaultRowHeight="15" customHeight="1" x14ac:dyDescent="0.35"/>
  <cols>
    <col min="1" max="1" width="28.90625" bestFit="1" customWidth="1"/>
    <col min="2" max="2" width="18.7265625" bestFit="1" customWidth="1"/>
    <col min="3" max="3" width="13.81640625" bestFit="1" customWidth="1"/>
    <col min="4" max="4" width="11" bestFit="1" customWidth="1"/>
    <col min="5" max="5" width="12.7265625" customWidth="1"/>
    <col min="6" max="6" width="11.81640625" bestFit="1" customWidth="1"/>
    <col min="7" max="8" width="28.7265625" customWidth="1"/>
    <col min="9" max="9" width="9.90625" bestFit="1" customWidth="1"/>
    <col min="10" max="10" width="9.90625" customWidth="1"/>
    <col min="11" max="11" width="9.54296875" customWidth="1"/>
  </cols>
  <sheetData>
    <row r="1" spans="1:15" ht="15" customHeight="1" x14ac:dyDescent="0.35">
      <c r="A1" s="89" t="s">
        <v>307</v>
      </c>
      <c r="B1" s="89"/>
      <c r="C1" s="89"/>
      <c r="D1" s="89"/>
      <c r="E1" s="89"/>
      <c r="F1" s="89"/>
      <c r="G1" s="89"/>
      <c r="H1" s="89"/>
      <c r="I1" s="89"/>
      <c r="J1" s="89"/>
      <c r="K1" s="89"/>
      <c r="M1" s="103" t="s">
        <v>203</v>
      </c>
      <c r="N1" s="103"/>
      <c r="O1" s="103"/>
    </row>
    <row r="2" spans="1:15" ht="15" customHeight="1" x14ac:dyDescent="0.35">
      <c r="A2" s="87" t="s">
        <v>69</v>
      </c>
      <c r="B2" s="88"/>
      <c r="C2" s="88"/>
      <c r="D2" s="88"/>
      <c r="E2" s="88"/>
      <c r="F2" s="88"/>
      <c r="G2" s="88"/>
      <c r="H2" s="88"/>
      <c r="I2" s="88"/>
      <c r="M2">
        <v>1</v>
      </c>
      <c r="N2">
        <f>0.035274</f>
        <v>3.5274E-2</v>
      </c>
      <c r="O2" t="s">
        <v>152</v>
      </c>
    </row>
    <row r="3" spans="1:15" ht="15" customHeight="1" x14ac:dyDescent="0.35">
      <c r="A3" s="1" t="s">
        <v>199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200</v>
      </c>
      <c r="I3" s="54" t="s">
        <v>201</v>
      </c>
      <c r="J3" s="54" t="s">
        <v>245</v>
      </c>
      <c r="K3" s="54" t="s">
        <v>202</v>
      </c>
      <c r="M3">
        <v>28.349399999999999</v>
      </c>
      <c r="N3">
        <v>1</v>
      </c>
      <c r="O3" t="s">
        <v>153</v>
      </c>
    </row>
    <row r="4" spans="1:15" ht="15" customHeight="1" x14ac:dyDescent="0.35">
      <c r="A4" s="104" t="s">
        <v>158</v>
      </c>
      <c r="B4" s="23" t="s">
        <v>159</v>
      </c>
      <c r="C4" s="24" t="s">
        <v>160</v>
      </c>
      <c r="D4" s="25" t="s">
        <v>161</v>
      </c>
      <c r="E4" s="25" t="s">
        <v>162</v>
      </c>
      <c r="F4" s="25" t="s">
        <v>163</v>
      </c>
      <c r="G4" s="26" t="s">
        <v>164</v>
      </c>
      <c r="H4" s="55" t="s">
        <v>209</v>
      </c>
      <c r="I4" s="3">
        <v>12.99</v>
      </c>
      <c r="J4" s="3">
        <f>I4/1000</f>
        <v>1.299E-2</v>
      </c>
      <c r="K4" s="3">
        <f>(I4*$M$3)/1000</f>
        <v>0.36825870599999999</v>
      </c>
    </row>
    <row r="5" spans="1:15" ht="15" customHeight="1" x14ac:dyDescent="0.35">
      <c r="A5" s="105"/>
      <c r="B5" s="23"/>
      <c r="C5" s="24"/>
      <c r="D5" s="25"/>
      <c r="E5" s="25"/>
      <c r="F5" s="25"/>
      <c r="G5" s="26"/>
      <c r="H5" s="55" t="s">
        <v>210</v>
      </c>
      <c r="I5" s="3">
        <v>12.99</v>
      </c>
      <c r="J5" s="3">
        <f t="shared" ref="J5:J69" si="0">I5/1000</f>
        <v>1.299E-2</v>
      </c>
      <c r="K5" s="3">
        <f t="shared" ref="K5:K55" si="1">(I5*$M$3)/1000</f>
        <v>0.36825870599999999</v>
      </c>
    </row>
    <row r="6" spans="1:15" ht="15" customHeight="1" x14ac:dyDescent="0.35">
      <c r="A6" s="105"/>
      <c r="B6" s="23"/>
      <c r="C6" s="24"/>
      <c r="D6" s="25"/>
      <c r="E6" s="25"/>
      <c r="F6" s="25"/>
      <c r="G6" s="26"/>
      <c r="H6" s="55" t="s">
        <v>211</v>
      </c>
      <c r="I6" s="3">
        <v>12.99</v>
      </c>
      <c r="J6" s="3">
        <f t="shared" si="0"/>
        <v>1.299E-2</v>
      </c>
      <c r="K6" s="3">
        <f t="shared" si="1"/>
        <v>0.36825870599999999</v>
      </c>
    </row>
    <row r="7" spans="1:15" ht="15" customHeight="1" x14ac:dyDescent="0.35">
      <c r="A7" s="105"/>
      <c r="B7" s="23"/>
      <c r="C7" s="24"/>
      <c r="D7" s="25"/>
      <c r="E7" s="25"/>
      <c r="F7" s="25"/>
      <c r="G7" s="26"/>
      <c r="H7" s="55" t="s">
        <v>212</v>
      </c>
      <c r="I7" s="3">
        <v>14.94</v>
      </c>
      <c r="J7" s="3">
        <f t="shared" si="0"/>
        <v>1.494E-2</v>
      </c>
      <c r="K7" s="3">
        <f t="shared" si="1"/>
        <v>0.42354003600000001</v>
      </c>
    </row>
    <row r="8" spans="1:15" ht="15" customHeight="1" x14ac:dyDescent="0.35">
      <c r="A8" s="105"/>
      <c r="B8" s="23"/>
      <c r="C8" s="24"/>
      <c r="D8" s="25"/>
      <c r="E8" s="25"/>
      <c r="F8" s="25"/>
      <c r="G8" s="26"/>
      <c r="H8" s="26" t="s">
        <v>213</v>
      </c>
      <c r="I8" s="3">
        <v>20.99</v>
      </c>
      <c r="J8" s="3">
        <f t="shared" si="0"/>
        <v>2.0989999999999998E-2</v>
      </c>
      <c r="K8" s="3">
        <f t="shared" si="1"/>
        <v>0.59505390599999997</v>
      </c>
    </row>
    <row r="9" spans="1:15" ht="15" customHeight="1" x14ac:dyDescent="0.35">
      <c r="A9" s="105"/>
      <c r="B9" s="23"/>
      <c r="C9" s="24"/>
      <c r="D9" s="25"/>
      <c r="E9" s="25"/>
      <c r="F9" s="25"/>
      <c r="G9" s="26"/>
      <c r="H9" s="26" t="s">
        <v>214</v>
      </c>
      <c r="I9" s="3">
        <f>65.99/4</f>
        <v>16.497499999999999</v>
      </c>
      <c r="J9" s="3">
        <f t="shared" si="0"/>
        <v>1.6497499999999998E-2</v>
      </c>
      <c r="K9" s="3">
        <f t="shared" si="1"/>
        <v>0.46769422649999998</v>
      </c>
      <c r="N9">
        <f>191.61/14</f>
        <v>13.686428571428573</v>
      </c>
      <c r="O9" t="s">
        <v>263</v>
      </c>
    </row>
    <row r="10" spans="1:15" ht="15" customHeight="1" x14ac:dyDescent="0.35">
      <c r="A10" s="105"/>
      <c r="B10" s="23"/>
      <c r="C10" s="24"/>
      <c r="D10" s="25"/>
      <c r="E10" s="25"/>
      <c r="F10" s="25"/>
      <c r="G10" s="26"/>
      <c r="H10" s="26" t="s">
        <v>215</v>
      </c>
      <c r="I10" s="3">
        <f>65.99/4</f>
        <v>16.497499999999999</v>
      </c>
      <c r="J10" s="3">
        <f t="shared" si="0"/>
        <v>1.6497499999999998E-2</v>
      </c>
      <c r="K10" s="3">
        <f t="shared" si="1"/>
        <v>0.46769422649999998</v>
      </c>
      <c r="N10">
        <f>N9/1000</f>
        <v>1.3686428571428573E-2</v>
      </c>
      <c r="O10" t="s">
        <v>264</v>
      </c>
    </row>
    <row r="11" spans="1:15" ht="15" customHeight="1" x14ac:dyDescent="0.35">
      <c r="A11" s="105"/>
      <c r="B11" s="23"/>
      <c r="C11" s="24"/>
      <c r="D11" s="25"/>
      <c r="E11" s="25"/>
      <c r="F11" s="25"/>
      <c r="G11" s="26"/>
      <c r="H11" s="26" t="s">
        <v>216</v>
      </c>
      <c r="I11" s="3">
        <v>24.99</v>
      </c>
      <c r="J11" s="3">
        <f t="shared" si="0"/>
        <v>2.4989999999999998E-2</v>
      </c>
      <c r="K11" s="3">
        <f t="shared" si="1"/>
        <v>0.70845150599999984</v>
      </c>
      <c r="N11">
        <f>N10*28.34</f>
        <v>0.38787338571428576</v>
      </c>
      <c r="O11" t="s">
        <v>265</v>
      </c>
    </row>
    <row r="12" spans="1:15" ht="15" customHeight="1" x14ac:dyDescent="0.35">
      <c r="A12" s="105"/>
      <c r="B12" s="23"/>
      <c r="C12" s="24"/>
      <c r="D12" s="25"/>
      <c r="E12" s="25"/>
      <c r="F12" s="25"/>
      <c r="G12" s="26"/>
      <c r="H12" s="26" t="s">
        <v>217</v>
      </c>
      <c r="I12" s="3">
        <v>31.99</v>
      </c>
      <c r="J12" s="3">
        <f t="shared" si="0"/>
        <v>3.1989999999999998E-2</v>
      </c>
      <c r="K12" s="3">
        <f t="shared" si="1"/>
        <v>0.90689730599999996</v>
      </c>
    </row>
    <row r="13" spans="1:15" ht="15" customHeight="1" x14ac:dyDescent="0.35">
      <c r="A13" s="105"/>
      <c r="B13" s="23"/>
      <c r="C13" s="24"/>
      <c r="D13" s="25"/>
      <c r="E13" s="25"/>
      <c r="F13" s="25"/>
      <c r="G13" s="26"/>
      <c r="H13" s="26" t="s">
        <v>218</v>
      </c>
      <c r="I13" s="3">
        <v>24.99</v>
      </c>
      <c r="J13" s="3">
        <f t="shared" si="0"/>
        <v>2.4989999999999998E-2</v>
      </c>
      <c r="K13" s="3">
        <f t="shared" si="1"/>
        <v>0.70845150599999984</v>
      </c>
    </row>
    <row r="14" spans="1:15" ht="15" customHeight="1" x14ac:dyDescent="0.35">
      <c r="A14" s="105"/>
      <c r="B14" s="23"/>
      <c r="C14" s="24"/>
      <c r="D14" s="25"/>
      <c r="E14" s="25"/>
      <c r="F14" s="25"/>
      <c r="G14" s="26"/>
      <c r="H14" s="26" t="s">
        <v>219</v>
      </c>
      <c r="I14" s="3">
        <v>24.99</v>
      </c>
      <c r="J14" s="3">
        <f t="shared" si="0"/>
        <v>2.4989999999999998E-2</v>
      </c>
      <c r="K14" s="3">
        <f t="shared" si="1"/>
        <v>0.70845150599999984</v>
      </c>
    </row>
    <row r="15" spans="1:15" ht="15" customHeight="1" x14ac:dyDescent="0.35">
      <c r="A15" s="105"/>
      <c r="B15" s="23"/>
      <c r="C15" s="24"/>
      <c r="D15" s="25"/>
      <c r="E15" s="25"/>
      <c r="F15" s="25"/>
      <c r="G15" s="26"/>
      <c r="H15" s="26" t="s">
        <v>220</v>
      </c>
      <c r="I15" s="3">
        <v>24.99</v>
      </c>
      <c r="J15" s="3">
        <f t="shared" si="0"/>
        <v>2.4989999999999998E-2</v>
      </c>
      <c r="K15" s="3">
        <f t="shared" si="1"/>
        <v>0.70845150599999984</v>
      </c>
    </row>
    <row r="16" spans="1:15" ht="15" customHeight="1" x14ac:dyDescent="0.35">
      <c r="A16" s="105"/>
      <c r="B16" s="23"/>
      <c r="C16" s="24"/>
      <c r="D16" s="25"/>
      <c r="E16" s="25"/>
      <c r="F16" s="25"/>
      <c r="G16" s="26"/>
      <c r="H16" s="26" t="s">
        <v>221</v>
      </c>
      <c r="I16" s="3">
        <v>24.99</v>
      </c>
      <c r="J16" s="3">
        <f t="shared" si="0"/>
        <v>2.4989999999999998E-2</v>
      </c>
      <c r="K16" s="3">
        <f t="shared" si="1"/>
        <v>0.70845150599999984</v>
      </c>
    </row>
    <row r="17" spans="1:11" ht="15" customHeight="1" x14ac:dyDescent="0.35">
      <c r="A17" s="105"/>
      <c r="B17" s="23"/>
      <c r="C17" s="24"/>
      <c r="D17" s="25"/>
      <c r="E17" s="25"/>
      <c r="F17" s="25"/>
      <c r="G17" s="26"/>
      <c r="H17" s="26" t="s">
        <v>222</v>
      </c>
      <c r="I17" s="3">
        <v>24.99</v>
      </c>
      <c r="J17" s="3">
        <f t="shared" si="0"/>
        <v>2.4989999999999998E-2</v>
      </c>
      <c r="K17" s="3">
        <f t="shared" si="1"/>
        <v>0.70845150599999984</v>
      </c>
    </row>
    <row r="18" spans="1:11" ht="15" customHeight="1" x14ac:dyDescent="0.35">
      <c r="A18" s="105"/>
      <c r="B18" s="23"/>
      <c r="C18" s="24"/>
      <c r="D18" s="25"/>
      <c r="E18" s="25"/>
      <c r="F18" s="25"/>
      <c r="G18" s="26"/>
      <c r="H18" s="26" t="s">
        <v>223</v>
      </c>
      <c r="I18" s="3">
        <v>24.99</v>
      </c>
      <c r="J18" s="3">
        <f t="shared" si="0"/>
        <v>2.4989999999999998E-2</v>
      </c>
      <c r="K18" s="3">
        <f t="shared" si="1"/>
        <v>0.70845150599999984</v>
      </c>
    </row>
    <row r="19" spans="1:11" ht="15" customHeight="1" x14ac:dyDescent="0.35">
      <c r="A19" s="105"/>
      <c r="B19" s="23"/>
      <c r="C19" s="24"/>
      <c r="D19" s="25"/>
      <c r="E19" s="25"/>
      <c r="F19" s="25"/>
      <c r="G19" s="26"/>
      <c r="H19" s="26" t="s">
        <v>224</v>
      </c>
      <c r="I19" s="3">
        <v>24.99</v>
      </c>
      <c r="J19" s="3">
        <f t="shared" si="0"/>
        <v>2.4989999999999998E-2</v>
      </c>
      <c r="K19" s="3">
        <f t="shared" si="1"/>
        <v>0.70845150599999984</v>
      </c>
    </row>
    <row r="20" spans="1:11" ht="15" customHeight="1" x14ac:dyDescent="0.35">
      <c r="A20" s="105"/>
      <c r="B20" s="23"/>
      <c r="C20" s="24"/>
      <c r="D20" s="25"/>
      <c r="E20" s="25"/>
      <c r="F20" s="25"/>
      <c r="G20" s="26"/>
      <c r="H20" s="26" t="s">
        <v>225</v>
      </c>
      <c r="I20" s="3">
        <v>44.99</v>
      </c>
      <c r="J20" s="3">
        <f t="shared" si="0"/>
        <v>4.4990000000000002E-2</v>
      </c>
      <c r="K20" s="3">
        <f t="shared" si="1"/>
        <v>1.2754395059999999</v>
      </c>
    </row>
    <row r="21" spans="1:11" ht="15" customHeight="1" x14ac:dyDescent="0.35">
      <c r="A21" s="106"/>
      <c r="B21" s="23"/>
      <c r="C21" s="24"/>
      <c r="D21" s="25"/>
      <c r="E21" s="25"/>
      <c r="F21" s="25"/>
      <c r="G21" s="26"/>
      <c r="H21" s="26"/>
      <c r="I21" s="3"/>
      <c r="J21" s="3">
        <f t="shared" si="0"/>
        <v>0</v>
      </c>
      <c r="K21" s="3">
        <f t="shared" si="1"/>
        <v>0</v>
      </c>
    </row>
    <row r="22" spans="1:11" ht="15" customHeight="1" x14ac:dyDescent="0.35">
      <c r="A22" s="107" t="s">
        <v>165</v>
      </c>
      <c r="B22" s="86" t="s">
        <v>166</v>
      </c>
      <c r="C22" s="32" t="s">
        <v>167</v>
      </c>
      <c r="D22" s="33" t="s">
        <v>168</v>
      </c>
      <c r="E22" s="33" t="s">
        <v>169</v>
      </c>
      <c r="F22" s="33" t="s">
        <v>170</v>
      </c>
      <c r="G22" s="34" t="s">
        <v>171</v>
      </c>
      <c r="H22" s="34" t="s">
        <v>226</v>
      </c>
      <c r="I22" s="3">
        <v>12.99</v>
      </c>
      <c r="J22" s="3">
        <f t="shared" si="0"/>
        <v>1.299E-2</v>
      </c>
      <c r="K22" s="3">
        <f t="shared" si="1"/>
        <v>0.36825870599999999</v>
      </c>
    </row>
    <row r="23" spans="1:11" ht="15" customHeight="1" x14ac:dyDescent="0.35">
      <c r="A23" s="109"/>
      <c r="B23" s="31"/>
      <c r="C23" s="32"/>
      <c r="D23" s="33"/>
      <c r="E23" s="33"/>
      <c r="F23" s="33"/>
      <c r="G23" s="34"/>
      <c r="H23" s="34" t="s">
        <v>227</v>
      </c>
      <c r="I23" s="3">
        <v>12.99</v>
      </c>
      <c r="J23" s="3">
        <f t="shared" si="0"/>
        <v>1.299E-2</v>
      </c>
      <c r="K23" s="3">
        <f t="shared" si="1"/>
        <v>0.36825870599999999</v>
      </c>
    </row>
    <row r="24" spans="1:11" ht="15" customHeight="1" x14ac:dyDescent="0.35">
      <c r="A24" s="109"/>
      <c r="B24" s="31"/>
      <c r="C24" s="32"/>
      <c r="D24" s="33"/>
      <c r="E24" s="33"/>
      <c r="F24" s="33"/>
      <c r="G24" s="34"/>
      <c r="H24" s="34" t="s">
        <v>228</v>
      </c>
      <c r="I24" s="3">
        <v>12.99</v>
      </c>
      <c r="J24" s="3">
        <f t="shared" si="0"/>
        <v>1.299E-2</v>
      </c>
      <c r="K24" s="3">
        <f t="shared" si="1"/>
        <v>0.36825870599999999</v>
      </c>
    </row>
    <row r="25" spans="1:11" ht="15" customHeight="1" x14ac:dyDescent="0.35">
      <c r="A25" s="109"/>
      <c r="B25" s="31"/>
      <c r="C25" s="32"/>
      <c r="D25" s="33"/>
      <c r="E25" s="33"/>
      <c r="F25" s="33"/>
      <c r="G25" s="34"/>
      <c r="H25" s="34" t="s">
        <v>229</v>
      </c>
      <c r="I25" s="3">
        <v>31.99</v>
      </c>
      <c r="J25" s="3">
        <f t="shared" si="0"/>
        <v>3.1989999999999998E-2</v>
      </c>
      <c r="K25" s="3">
        <f t="shared" si="1"/>
        <v>0.90689730599999996</v>
      </c>
    </row>
    <row r="26" spans="1:11" ht="15" customHeight="1" x14ac:dyDescent="0.35">
      <c r="A26" s="108"/>
      <c r="B26" s="31"/>
      <c r="C26" s="32"/>
      <c r="D26" s="33"/>
      <c r="E26" s="33"/>
      <c r="F26" s="33"/>
      <c r="G26" s="34"/>
      <c r="H26" s="34"/>
      <c r="I26" s="3"/>
      <c r="J26" s="3">
        <f t="shared" si="0"/>
        <v>0</v>
      </c>
      <c r="K26" s="3">
        <f t="shared" si="1"/>
        <v>0</v>
      </c>
    </row>
    <row r="27" spans="1:11" ht="15" customHeight="1" x14ac:dyDescent="0.35">
      <c r="A27" s="104" t="s">
        <v>172</v>
      </c>
      <c r="B27" s="23" t="s">
        <v>173</v>
      </c>
      <c r="C27" s="24" t="s">
        <v>174</v>
      </c>
      <c r="D27" s="25" t="s">
        <v>160</v>
      </c>
      <c r="E27" s="25" t="s">
        <v>162</v>
      </c>
      <c r="F27" s="25" t="s">
        <v>175</v>
      </c>
      <c r="G27" s="26" t="s">
        <v>176</v>
      </c>
      <c r="H27" s="26" t="s">
        <v>230</v>
      </c>
      <c r="I27" s="3">
        <v>12.99</v>
      </c>
      <c r="J27" s="3">
        <f t="shared" si="0"/>
        <v>1.299E-2</v>
      </c>
      <c r="K27" s="3">
        <f t="shared" si="1"/>
        <v>0.36825870599999999</v>
      </c>
    </row>
    <row r="28" spans="1:11" ht="15" customHeight="1" x14ac:dyDescent="0.35">
      <c r="A28" s="105"/>
      <c r="B28" s="23"/>
      <c r="C28" s="24"/>
      <c r="D28" s="25"/>
      <c r="E28" s="25"/>
      <c r="F28" s="25"/>
      <c r="G28" s="26"/>
      <c r="H28" s="26" t="s">
        <v>231</v>
      </c>
      <c r="I28" s="3">
        <v>29.9</v>
      </c>
      <c r="J28" s="3">
        <f t="shared" si="0"/>
        <v>2.9899999999999999E-2</v>
      </c>
      <c r="K28" s="3">
        <f t="shared" si="1"/>
        <v>0.8476470599999999</v>
      </c>
    </row>
    <row r="29" spans="1:11" ht="15" customHeight="1" x14ac:dyDescent="0.35">
      <c r="A29" s="105"/>
      <c r="B29" s="23"/>
      <c r="C29" s="24"/>
      <c r="D29" s="25"/>
      <c r="E29" s="25"/>
      <c r="F29" s="25"/>
      <c r="G29" s="26"/>
      <c r="H29" s="26" t="s">
        <v>232</v>
      </c>
      <c r="I29" s="3">
        <v>36.9</v>
      </c>
      <c r="J29" s="3">
        <f t="shared" si="0"/>
        <v>3.6899999999999995E-2</v>
      </c>
      <c r="K29" s="3">
        <f t="shared" si="1"/>
        <v>1.0460928599999999</v>
      </c>
    </row>
    <row r="30" spans="1:11" ht="15" customHeight="1" x14ac:dyDescent="0.35">
      <c r="A30" s="106"/>
      <c r="B30" s="23"/>
      <c r="C30" s="24"/>
      <c r="D30" s="25"/>
      <c r="E30" s="25"/>
      <c r="F30" s="25"/>
      <c r="G30" s="26"/>
      <c r="H30" s="26"/>
      <c r="I30" s="3"/>
      <c r="J30" s="3">
        <f t="shared" si="0"/>
        <v>0</v>
      </c>
      <c r="K30" s="3">
        <f t="shared" si="1"/>
        <v>0</v>
      </c>
    </row>
    <row r="31" spans="1:11" ht="15" customHeight="1" x14ac:dyDescent="0.35">
      <c r="A31" s="107" t="s">
        <v>177</v>
      </c>
      <c r="B31" s="31" t="s">
        <v>173</v>
      </c>
      <c r="C31" s="32" t="s">
        <v>174</v>
      </c>
      <c r="D31" s="33" t="s">
        <v>160</v>
      </c>
      <c r="E31" s="33" t="s">
        <v>178</v>
      </c>
      <c r="F31" s="33" t="s">
        <v>179</v>
      </c>
      <c r="G31" s="34" t="s">
        <v>205</v>
      </c>
      <c r="H31" s="34" t="s">
        <v>233</v>
      </c>
      <c r="I31" s="3">
        <v>29.99</v>
      </c>
      <c r="J31" s="3">
        <f t="shared" si="0"/>
        <v>2.9989999999999999E-2</v>
      </c>
      <c r="K31" s="3">
        <f t="shared" si="1"/>
        <v>0.85019850599999991</v>
      </c>
    </row>
    <row r="32" spans="1:11" ht="15" customHeight="1" x14ac:dyDescent="0.35">
      <c r="A32" s="109"/>
      <c r="B32" s="31"/>
      <c r="C32" s="32"/>
      <c r="D32" s="33"/>
      <c r="E32" s="33"/>
      <c r="F32" s="33"/>
      <c r="G32" s="34"/>
      <c r="H32" s="34" t="s">
        <v>234</v>
      </c>
      <c r="I32" s="3">
        <v>49.99</v>
      </c>
      <c r="J32" s="3">
        <f t="shared" si="0"/>
        <v>4.999E-2</v>
      </c>
      <c r="K32" s="3">
        <f t="shared" si="1"/>
        <v>1.417186506</v>
      </c>
    </row>
    <row r="33" spans="1:13" ht="15" customHeight="1" x14ac:dyDescent="0.35">
      <c r="A33" s="109"/>
      <c r="B33" s="31"/>
      <c r="C33" s="32"/>
      <c r="D33" s="33"/>
      <c r="E33" s="33"/>
      <c r="F33" s="33"/>
      <c r="G33" s="34"/>
      <c r="H33" s="34" t="s">
        <v>235</v>
      </c>
      <c r="I33" s="3">
        <v>36.99</v>
      </c>
      <c r="J33" s="3">
        <f t="shared" si="0"/>
        <v>3.6990000000000002E-2</v>
      </c>
      <c r="K33" s="3">
        <f t="shared" si="1"/>
        <v>1.0486443060000001</v>
      </c>
    </row>
    <row r="34" spans="1:13" ht="15" customHeight="1" x14ac:dyDescent="0.35">
      <c r="A34" s="108"/>
      <c r="B34" s="31"/>
      <c r="C34" s="32"/>
      <c r="D34" s="33"/>
      <c r="E34" s="33"/>
      <c r="F34" s="33"/>
      <c r="G34" s="34"/>
      <c r="H34" s="34"/>
      <c r="I34" s="3"/>
      <c r="J34" s="3">
        <f t="shared" si="0"/>
        <v>0</v>
      </c>
      <c r="K34" s="3">
        <f t="shared" si="1"/>
        <v>0</v>
      </c>
    </row>
    <row r="35" spans="1:13" ht="15" customHeight="1" x14ac:dyDescent="0.35">
      <c r="A35" s="104" t="s">
        <v>180</v>
      </c>
      <c r="B35" s="23" t="s">
        <v>168</v>
      </c>
      <c r="C35" s="24" t="s">
        <v>167</v>
      </c>
      <c r="D35" s="25" t="s">
        <v>181</v>
      </c>
      <c r="E35" s="25" t="s">
        <v>169</v>
      </c>
      <c r="F35" s="25" t="s">
        <v>167</v>
      </c>
      <c r="G35" s="26" t="s">
        <v>182</v>
      </c>
      <c r="H35" s="26" t="s">
        <v>236</v>
      </c>
      <c r="I35" s="3">
        <v>34.99</v>
      </c>
      <c r="J35" s="3">
        <f t="shared" si="0"/>
        <v>3.499E-2</v>
      </c>
      <c r="K35" s="3">
        <f t="shared" si="1"/>
        <v>0.99194550599999998</v>
      </c>
    </row>
    <row r="36" spans="1:13" ht="15" customHeight="1" x14ac:dyDescent="0.35">
      <c r="A36" s="105"/>
      <c r="B36" s="23"/>
      <c r="C36" s="24"/>
      <c r="D36" s="25"/>
      <c r="E36" s="25"/>
      <c r="F36" s="25"/>
      <c r="G36" s="26" t="s">
        <v>206</v>
      </c>
      <c r="H36" s="26" t="s">
        <v>237</v>
      </c>
      <c r="I36" s="3">
        <v>41.99</v>
      </c>
      <c r="J36" s="3">
        <f t="shared" si="0"/>
        <v>4.199E-2</v>
      </c>
      <c r="K36" s="3">
        <f t="shared" si="1"/>
        <v>1.190391306</v>
      </c>
    </row>
    <row r="37" spans="1:13" ht="15" customHeight="1" x14ac:dyDescent="0.35">
      <c r="A37" s="105"/>
      <c r="B37" s="23"/>
      <c r="C37" s="24"/>
      <c r="D37" s="25"/>
      <c r="E37" s="25"/>
      <c r="F37" s="25"/>
      <c r="G37" s="26" t="s">
        <v>207</v>
      </c>
      <c r="H37" s="26" t="s">
        <v>238</v>
      </c>
      <c r="I37" s="3">
        <v>41.99</v>
      </c>
      <c r="J37" s="3">
        <f t="shared" si="0"/>
        <v>4.199E-2</v>
      </c>
      <c r="K37" s="3">
        <f t="shared" si="1"/>
        <v>1.190391306</v>
      </c>
    </row>
    <row r="38" spans="1:13" ht="15" customHeight="1" x14ac:dyDescent="0.35">
      <c r="A38" s="106"/>
      <c r="B38" s="23"/>
      <c r="C38" s="24"/>
      <c r="D38" s="25"/>
      <c r="E38" s="25"/>
      <c r="F38" s="25"/>
      <c r="G38" s="26"/>
      <c r="H38" s="26"/>
      <c r="I38" s="3"/>
      <c r="J38" s="3">
        <f t="shared" si="0"/>
        <v>0</v>
      </c>
      <c r="K38" s="3">
        <f t="shared" si="1"/>
        <v>0</v>
      </c>
    </row>
    <row r="39" spans="1:13" ht="15" customHeight="1" x14ac:dyDescent="0.35">
      <c r="A39" s="107" t="s">
        <v>183</v>
      </c>
      <c r="B39" s="31" t="s">
        <v>184</v>
      </c>
      <c r="C39" s="32" t="s">
        <v>181</v>
      </c>
      <c r="D39" s="33" t="s">
        <v>167</v>
      </c>
      <c r="E39" s="33" t="s">
        <v>169</v>
      </c>
      <c r="F39" s="33" t="s">
        <v>179</v>
      </c>
      <c r="G39" s="34" t="s">
        <v>185</v>
      </c>
      <c r="H39" s="34" t="s">
        <v>239</v>
      </c>
      <c r="I39" s="3">
        <v>39.99</v>
      </c>
      <c r="J39" s="3">
        <f t="shared" si="0"/>
        <v>3.9990000000000005E-2</v>
      </c>
      <c r="K39" s="3">
        <f t="shared" si="1"/>
        <v>1.133692506</v>
      </c>
    </row>
    <row r="40" spans="1:13" ht="15" customHeight="1" x14ac:dyDescent="0.35">
      <c r="A40" s="109"/>
      <c r="B40" s="31"/>
      <c r="C40" s="32"/>
      <c r="D40" s="33"/>
      <c r="E40" s="33"/>
      <c r="F40" s="33"/>
      <c r="G40" s="34" t="s">
        <v>204</v>
      </c>
      <c r="H40" s="34" t="s">
        <v>240</v>
      </c>
      <c r="I40" s="3">
        <v>54.99</v>
      </c>
      <c r="J40" s="3">
        <f t="shared" si="0"/>
        <v>5.4990000000000004E-2</v>
      </c>
      <c r="K40" s="3">
        <f t="shared" si="1"/>
        <v>1.558933506</v>
      </c>
    </row>
    <row r="41" spans="1:13" ht="15" customHeight="1" x14ac:dyDescent="0.35">
      <c r="A41" s="108"/>
      <c r="B41" s="31"/>
      <c r="C41" s="32"/>
      <c r="D41" s="33"/>
      <c r="E41" s="33"/>
      <c r="F41" s="33"/>
      <c r="G41" s="34"/>
      <c r="H41" s="34"/>
      <c r="I41" s="3"/>
      <c r="J41" s="3">
        <f t="shared" si="0"/>
        <v>0</v>
      </c>
      <c r="K41" s="3">
        <f t="shared" si="1"/>
        <v>0</v>
      </c>
    </row>
    <row r="42" spans="1:13" ht="15" customHeight="1" x14ac:dyDescent="0.35">
      <c r="A42" s="104" t="s">
        <v>186</v>
      </c>
      <c r="B42" s="23" t="s">
        <v>174</v>
      </c>
      <c r="C42" s="24" t="s">
        <v>174</v>
      </c>
      <c r="D42" s="25" t="s">
        <v>167</v>
      </c>
      <c r="E42" s="25" t="s">
        <v>169</v>
      </c>
      <c r="F42" s="25" t="s">
        <v>179</v>
      </c>
      <c r="G42" s="26" t="s">
        <v>187</v>
      </c>
      <c r="H42" s="26" t="s">
        <v>241</v>
      </c>
      <c r="I42" s="3">
        <v>42.99</v>
      </c>
      <c r="J42" s="3">
        <f t="shared" si="0"/>
        <v>4.299E-2</v>
      </c>
      <c r="K42" s="3">
        <f t="shared" si="1"/>
        <v>1.218740706</v>
      </c>
    </row>
    <row r="43" spans="1:13" ht="15" customHeight="1" x14ac:dyDescent="0.35">
      <c r="A43" s="105"/>
      <c r="B43" s="23"/>
      <c r="C43" s="24"/>
      <c r="D43" s="25"/>
      <c r="E43" s="25"/>
      <c r="F43" s="25"/>
      <c r="G43" s="26"/>
      <c r="H43" s="26" t="s">
        <v>242</v>
      </c>
      <c r="I43" s="3">
        <v>59.99</v>
      </c>
      <c r="J43" s="3">
        <f t="shared" si="0"/>
        <v>5.9990000000000002E-2</v>
      </c>
      <c r="K43" s="3">
        <f t="shared" si="1"/>
        <v>1.7006805059999999</v>
      </c>
    </row>
    <row r="44" spans="1:13" ht="15" customHeight="1" x14ac:dyDescent="0.35">
      <c r="A44" s="106"/>
      <c r="B44" s="23"/>
      <c r="C44" s="24"/>
      <c r="D44" s="25"/>
      <c r="E44" s="25"/>
      <c r="F44" s="25"/>
      <c r="G44" s="26"/>
      <c r="H44" s="26"/>
      <c r="I44" s="3"/>
      <c r="J44" s="3">
        <f t="shared" si="0"/>
        <v>0</v>
      </c>
      <c r="K44" s="3">
        <f t="shared" si="1"/>
        <v>0</v>
      </c>
    </row>
    <row r="45" spans="1:13" ht="15" customHeight="1" x14ac:dyDescent="0.35">
      <c r="A45" s="107" t="s">
        <v>188</v>
      </c>
      <c r="B45" s="31" t="s">
        <v>189</v>
      </c>
      <c r="C45" s="32" t="s">
        <v>190</v>
      </c>
      <c r="D45" s="33" t="s">
        <v>160</v>
      </c>
      <c r="E45" s="33" t="s">
        <v>178</v>
      </c>
      <c r="F45" s="33" t="s">
        <v>191</v>
      </c>
      <c r="G45" s="34" t="s">
        <v>198</v>
      </c>
      <c r="H45" s="34" t="s">
        <v>243</v>
      </c>
      <c r="I45" s="3">
        <v>129.99</v>
      </c>
      <c r="J45" s="3">
        <f t="shared" si="0"/>
        <v>0.12999000000000002</v>
      </c>
      <c r="K45" s="3">
        <f t="shared" si="1"/>
        <v>3.6851385060000004</v>
      </c>
    </row>
    <row r="46" spans="1:13" ht="15" customHeight="1" x14ac:dyDescent="0.35">
      <c r="A46" s="108"/>
      <c r="B46" s="31"/>
      <c r="C46" s="32"/>
      <c r="D46" s="33"/>
      <c r="E46" s="33"/>
      <c r="F46" s="33"/>
      <c r="G46" s="34"/>
      <c r="H46" s="34"/>
      <c r="I46" s="3"/>
      <c r="J46" s="3">
        <f t="shared" si="0"/>
        <v>0</v>
      </c>
      <c r="K46" s="3">
        <f t="shared" si="1"/>
        <v>0</v>
      </c>
    </row>
    <row r="47" spans="1:13" ht="15" customHeight="1" x14ac:dyDescent="0.35">
      <c r="A47" s="100" t="s">
        <v>292</v>
      </c>
      <c r="B47" s="77"/>
      <c r="C47" s="78"/>
      <c r="D47" s="79"/>
      <c r="E47" s="79"/>
      <c r="F47" s="79"/>
      <c r="G47" s="55"/>
      <c r="H47" s="55" t="s">
        <v>282</v>
      </c>
      <c r="I47" s="64">
        <f>19.99*(1000/350)</f>
        <v>57.114285714285714</v>
      </c>
      <c r="J47" s="3">
        <f t="shared" si="0"/>
        <v>5.7114285714285715E-2</v>
      </c>
      <c r="K47" s="3">
        <f t="shared" si="1"/>
        <v>1.6191557314285714</v>
      </c>
      <c r="M47" s="85" t="s">
        <v>295</v>
      </c>
    </row>
    <row r="48" spans="1:13" ht="15" customHeight="1" x14ac:dyDescent="0.35">
      <c r="A48" s="101"/>
      <c r="B48" s="77"/>
      <c r="C48" s="78"/>
      <c r="D48" s="79"/>
      <c r="E48" s="79"/>
      <c r="F48" s="79"/>
      <c r="G48" s="55"/>
      <c r="H48" s="55" t="s">
        <v>293</v>
      </c>
      <c r="I48" s="64">
        <f>19.99*(1000/350)</f>
        <v>57.114285714285714</v>
      </c>
      <c r="J48" s="3">
        <f t="shared" si="0"/>
        <v>5.7114285714285715E-2</v>
      </c>
      <c r="K48" s="3">
        <f t="shared" si="1"/>
        <v>1.6191557314285714</v>
      </c>
      <c r="M48" t="s">
        <v>296</v>
      </c>
    </row>
    <row r="49" spans="1:11" ht="15" customHeight="1" x14ac:dyDescent="0.35">
      <c r="A49" s="101"/>
      <c r="B49" s="77"/>
      <c r="C49" s="78"/>
      <c r="D49" s="79"/>
      <c r="E49" s="79"/>
      <c r="F49" s="79"/>
      <c r="G49" s="55"/>
      <c r="H49" s="55" t="s">
        <v>284</v>
      </c>
      <c r="I49" s="64">
        <f>24.99*(1000/350)</f>
        <v>71.399999999999991</v>
      </c>
      <c r="J49" s="3">
        <f t="shared" si="0"/>
        <v>7.1399999999999991E-2</v>
      </c>
      <c r="K49" s="3">
        <f t="shared" si="1"/>
        <v>2.0241471599999996</v>
      </c>
    </row>
    <row r="50" spans="1:11" ht="15" customHeight="1" x14ac:dyDescent="0.35">
      <c r="A50" s="102"/>
      <c r="B50" s="77"/>
      <c r="C50" s="78"/>
      <c r="D50" s="79"/>
      <c r="E50" s="79"/>
      <c r="F50" s="79"/>
      <c r="G50" s="55"/>
      <c r="H50" s="55" t="s">
        <v>294</v>
      </c>
      <c r="I50" s="64">
        <f>39.99*(1000/350)</f>
        <v>114.25714285714287</v>
      </c>
      <c r="J50" s="3">
        <f t="shared" si="0"/>
        <v>0.11425714285714286</v>
      </c>
      <c r="K50" s="3">
        <f t="shared" si="1"/>
        <v>3.2391214457142858</v>
      </c>
    </row>
    <row r="51" spans="1:11" ht="15" customHeight="1" x14ac:dyDescent="0.35">
      <c r="A51" s="80"/>
      <c r="B51" s="81"/>
      <c r="C51" s="82"/>
      <c r="D51" s="83"/>
      <c r="E51" s="83"/>
      <c r="F51" s="83"/>
      <c r="G51" s="84"/>
      <c r="H51" s="84"/>
      <c r="I51" s="3"/>
      <c r="J51" s="3"/>
      <c r="K51" s="3"/>
    </row>
    <row r="52" spans="1:11" ht="15" customHeight="1" x14ac:dyDescent="0.35">
      <c r="A52" s="22"/>
      <c r="B52" s="23"/>
      <c r="C52" s="24"/>
      <c r="D52" s="25"/>
      <c r="E52" s="25"/>
      <c r="F52" s="25"/>
      <c r="G52" s="26"/>
      <c r="H52" s="26"/>
      <c r="I52" s="3"/>
      <c r="J52" s="3">
        <f t="shared" si="0"/>
        <v>0</v>
      </c>
      <c r="K52" s="3">
        <f t="shared" si="1"/>
        <v>0</v>
      </c>
    </row>
    <row r="53" spans="1:11" ht="15" customHeight="1" x14ac:dyDescent="0.35">
      <c r="A53" s="30"/>
      <c r="B53" s="31"/>
      <c r="C53" s="32"/>
      <c r="D53" s="33"/>
      <c r="E53" s="33"/>
      <c r="F53" s="33"/>
      <c r="G53" s="34"/>
      <c r="H53" s="34"/>
      <c r="I53" s="3"/>
      <c r="J53" s="3">
        <f t="shared" si="0"/>
        <v>0</v>
      </c>
      <c r="K53" s="3">
        <f t="shared" si="1"/>
        <v>0</v>
      </c>
    </row>
    <row r="54" spans="1:11" ht="15" customHeight="1" x14ac:dyDescent="0.35">
      <c r="A54" s="22"/>
      <c r="B54" s="23"/>
      <c r="C54" s="24"/>
      <c r="D54" s="25"/>
      <c r="E54" s="25"/>
      <c r="F54" s="25"/>
      <c r="G54" s="26"/>
      <c r="H54" s="26"/>
      <c r="I54" s="3"/>
      <c r="J54" s="3">
        <f t="shared" si="0"/>
        <v>0</v>
      </c>
      <c r="K54" s="3">
        <f t="shared" si="1"/>
        <v>0</v>
      </c>
    </row>
    <row r="55" spans="1:11" ht="15" customHeight="1" x14ac:dyDescent="0.35">
      <c r="A55" s="30"/>
      <c r="B55" s="31"/>
      <c r="C55" s="32"/>
      <c r="D55" s="33"/>
      <c r="E55" s="33"/>
      <c r="F55" s="33"/>
      <c r="G55" s="34"/>
      <c r="H55" s="34"/>
      <c r="I55" s="3"/>
      <c r="J55" s="3">
        <f t="shared" si="0"/>
        <v>0</v>
      </c>
      <c r="K55" s="3">
        <f t="shared" si="1"/>
        <v>0</v>
      </c>
    </row>
    <row r="56" spans="1:11" ht="15" customHeight="1" x14ac:dyDescent="0.35">
      <c r="A56" s="22"/>
      <c r="B56" s="23"/>
      <c r="C56" s="24"/>
      <c r="D56" s="25"/>
      <c r="E56" s="25"/>
      <c r="F56" s="25"/>
      <c r="G56" s="26"/>
      <c r="H56" s="26"/>
      <c r="I56" s="3"/>
      <c r="J56" s="3">
        <f t="shared" si="0"/>
        <v>0</v>
      </c>
      <c r="K56" s="3">
        <f t="shared" ref="K56:K86" si="2">(I56*$M$3)/1000</f>
        <v>0</v>
      </c>
    </row>
    <row r="57" spans="1:11" ht="15" customHeight="1" x14ac:dyDescent="0.35">
      <c r="A57" s="30"/>
      <c r="B57" s="31"/>
      <c r="C57" s="32"/>
      <c r="D57" s="33"/>
      <c r="E57" s="33"/>
      <c r="F57" s="33"/>
      <c r="G57" s="34"/>
      <c r="H57" s="34"/>
      <c r="I57" s="3"/>
      <c r="J57" s="3">
        <f t="shared" si="0"/>
        <v>0</v>
      </c>
      <c r="K57" s="3">
        <f t="shared" si="2"/>
        <v>0</v>
      </c>
    </row>
    <row r="58" spans="1:11" ht="15" customHeight="1" x14ac:dyDescent="0.35">
      <c r="A58" s="22"/>
      <c r="B58" s="23"/>
      <c r="C58" s="24"/>
      <c r="D58" s="25"/>
      <c r="E58" s="25"/>
      <c r="F58" s="25"/>
      <c r="G58" s="26"/>
      <c r="H58" s="26"/>
      <c r="I58" s="3"/>
      <c r="J58" s="3">
        <f t="shared" si="0"/>
        <v>0</v>
      </c>
      <c r="K58" s="3">
        <f t="shared" si="2"/>
        <v>0</v>
      </c>
    </row>
    <row r="59" spans="1:11" ht="15" customHeight="1" x14ac:dyDescent="0.35">
      <c r="A59" s="30"/>
      <c r="B59" s="31"/>
      <c r="C59" s="32"/>
      <c r="D59" s="33"/>
      <c r="E59" s="33"/>
      <c r="F59" s="33"/>
      <c r="G59" s="34"/>
      <c r="H59" s="34"/>
      <c r="I59" s="3"/>
      <c r="J59" s="3">
        <f t="shared" si="0"/>
        <v>0</v>
      </c>
      <c r="K59" s="3">
        <f t="shared" si="2"/>
        <v>0</v>
      </c>
    </row>
    <row r="60" spans="1:11" ht="15" customHeight="1" x14ac:dyDescent="0.35">
      <c r="A60" s="22"/>
      <c r="B60" s="23"/>
      <c r="C60" s="24"/>
      <c r="D60" s="25"/>
      <c r="E60" s="25"/>
      <c r="F60" s="25"/>
      <c r="G60" s="26"/>
      <c r="H60" s="26"/>
      <c r="I60" s="3"/>
      <c r="J60" s="3">
        <f t="shared" si="0"/>
        <v>0</v>
      </c>
      <c r="K60" s="3">
        <f t="shared" si="2"/>
        <v>0</v>
      </c>
    </row>
    <row r="61" spans="1:11" ht="15" customHeight="1" x14ac:dyDescent="0.35">
      <c r="A61" s="30"/>
      <c r="B61" s="31"/>
      <c r="C61" s="32"/>
      <c r="D61" s="33"/>
      <c r="E61" s="33"/>
      <c r="F61" s="33"/>
      <c r="G61" s="34"/>
      <c r="H61" s="34"/>
      <c r="I61" s="3"/>
      <c r="J61" s="3">
        <f t="shared" si="0"/>
        <v>0</v>
      </c>
      <c r="K61" s="3">
        <f t="shared" si="2"/>
        <v>0</v>
      </c>
    </row>
    <row r="62" spans="1:11" ht="15" customHeight="1" x14ac:dyDescent="0.35">
      <c r="A62" s="22"/>
      <c r="B62" s="23"/>
      <c r="C62" s="24"/>
      <c r="D62" s="25"/>
      <c r="E62" s="25"/>
      <c r="F62" s="25"/>
      <c r="G62" s="26"/>
      <c r="H62" s="26"/>
      <c r="I62" s="3"/>
      <c r="J62" s="3">
        <f t="shared" si="0"/>
        <v>0</v>
      </c>
      <c r="K62" s="3">
        <f t="shared" si="2"/>
        <v>0</v>
      </c>
    </row>
    <row r="63" spans="1:11" ht="15" customHeight="1" x14ac:dyDescent="0.35">
      <c r="A63" s="30"/>
      <c r="B63" s="31"/>
      <c r="C63" s="32"/>
      <c r="D63" s="33"/>
      <c r="E63" s="33"/>
      <c r="F63" s="33"/>
      <c r="G63" s="34"/>
      <c r="H63" s="34"/>
      <c r="I63" s="3"/>
      <c r="J63" s="3">
        <f t="shared" si="0"/>
        <v>0</v>
      </c>
      <c r="K63" s="3">
        <f t="shared" si="2"/>
        <v>0</v>
      </c>
    </row>
    <row r="64" spans="1:11" ht="15" customHeight="1" x14ac:dyDescent="0.35">
      <c r="A64" s="22"/>
      <c r="B64" s="23"/>
      <c r="C64" s="24"/>
      <c r="D64" s="25"/>
      <c r="E64" s="25"/>
      <c r="F64" s="25"/>
      <c r="G64" s="26"/>
      <c r="H64" s="26"/>
      <c r="I64" s="3"/>
      <c r="J64" s="3">
        <f t="shared" si="0"/>
        <v>0</v>
      </c>
      <c r="K64" s="3">
        <f t="shared" si="2"/>
        <v>0</v>
      </c>
    </row>
    <row r="65" spans="1:11" ht="15" customHeight="1" x14ac:dyDescent="0.35">
      <c r="A65" s="30"/>
      <c r="B65" s="31"/>
      <c r="C65" s="32"/>
      <c r="D65" s="33"/>
      <c r="E65" s="33"/>
      <c r="F65" s="33"/>
      <c r="G65" s="34"/>
      <c r="H65" s="34"/>
      <c r="I65" s="3"/>
      <c r="J65" s="3">
        <f t="shared" si="0"/>
        <v>0</v>
      </c>
      <c r="K65" s="3">
        <f t="shared" si="2"/>
        <v>0</v>
      </c>
    </row>
    <row r="66" spans="1:11" ht="15" customHeight="1" x14ac:dyDescent="0.35">
      <c r="A66" s="22"/>
      <c r="B66" s="23"/>
      <c r="C66" s="24"/>
      <c r="D66" s="25"/>
      <c r="E66" s="25"/>
      <c r="F66" s="25"/>
      <c r="G66" s="26"/>
      <c r="H66" s="26"/>
      <c r="I66" s="3"/>
      <c r="J66" s="3">
        <f t="shared" si="0"/>
        <v>0</v>
      </c>
      <c r="K66" s="3">
        <f t="shared" si="2"/>
        <v>0</v>
      </c>
    </row>
    <row r="67" spans="1:11" ht="15" customHeight="1" x14ac:dyDescent="0.35">
      <c r="A67" s="30"/>
      <c r="B67" s="31"/>
      <c r="C67" s="32"/>
      <c r="D67" s="33"/>
      <c r="E67" s="33"/>
      <c r="F67" s="33"/>
      <c r="G67" s="34"/>
      <c r="H67" s="34"/>
      <c r="I67" s="3"/>
      <c r="J67" s="3">
        <f t="shared" si="0"/>
        <v>0</v>
      </c>
      <c r="K67" s="3">
        <f t="shared" si="2"/>
        <v>0</v>
      </c>
    </row>
    <row r="68" spans="1:11" ht="15" customHeight="1" x14ac:dyDescent="0.35">
      <c r="A68" s="22"/>
      <c r="B68" s="23"/>
      <c r="C68" s="24"/>
      <c r="D68" s="25"/>
      <c r="E68" s="25"/>
      <c r="F68" s="25"/>
      <c r="G68" s="26"/>
      <c r="H68" s="26"/>
      <c r="I68" s="3"/>
      <c r="J68" s="3">
        <f t="shared" si="0"/>
        <v>0</v>
      </c>
      <c r="K68" s="3">
        <f t="shared" si="2"/>
        <v>0</v>
      </c>
    </row>
    <row r="69" spans="1:11" ht="15" customHeight="1" x14ac:dyDescent="0.35">
      <c r="A69" s="30"/>
      <c r="B69" s="31"/>
      <c r="C69" s="32"/>
      <c r="D69" s="33"/>
      <c r="E69" s="33"/>
      <c r="F69" s="33"/>
      <c r="G69" s="34"/>
      <c r="H69" s="34"/>
      <c r="I69" s="3"/>
      <c r="J69" s="3">
        <f t="shared" si="0"/>
        <v>0</v>
      </c>
      <c r="K69" s="3">
        <f t="shared" si="2"/>
        <v>0</v>
      </c>
    </row>
    <row r="70" spans="1:11" ht="15" customHeight="1" x14ac:dyDescent="0.35">
      <c r="A70" s="22"/>
      <c r="B70" s="23"/>
      <c r="C70" s="24"/>
      <c r="D70" s="25"/>
      <c r="E70" s="25"/>
      <c r="F70" s="25"/>
      <c r="G70" s="26"/>
      <c r="H70" s="26"/>
      <c r="I70" s="3"/>
      <c r="J70" s="3">
        <f t="shared" ref="J70:J86" si="3">I70/1000</f>
        <v>0</v>
      </c>
      <c r="K70" s="3">
        <f t="shared" si="2"/>
        <v>0</v>
      </c>
    </row>
    <row r="71" spans="1:11" ht="15" customHeight="1" x14ac:dyDescent="0.35">
      <c r="A71" s="30"/>
      <c r="B71" s="31"/>
      <c r="C71" s="32"/>
      <c r="D71" s="33"/>
      <c r="E71" s="33"/>
      <c r="F71" s="33"/>
      <c r="G71" s="34"/>
      <c r="H71" s="34"/>
      <c r="I71" s="3"/>
      <c r="J71" s="3">
        <f t="shared" si="3"/>
        <v>0</v>
      </c>
      <c r="K71" s="3">
        <f t="shared" si="2"/>
        <v>0</v>
      </c>
    </row>
    <row r="72" spans="1:11" ht="15" customHeight="1" x14ac:dyDescent="0.35">
      <c r="A72" s="22"/>
      <c r="B72" s="23"/>
      <c r="C72" s="24"/>
      <c r="D72" s="25"/>
      <c r="E72" s="25"/>
      <c r="F72" s="25"/>
      <c r="G72" s="26"/>
      <c r="H72" s="26"/>
      <c r="I72" s="3"/>
      <c r="J72" s="3">
        <f t="shared" si="3"/>
        <v>0</v>
      </c>
      <c r="K72" s="3">
        <f t="shared" si="2"/>
        <v>0</v>
      </c>
    </row>
    <row r="73" spans="1:11" ht="15" customHeight="1" x14ac:dyDescent="0.35">
      <c r="A73" s="30"/>
      <c r="B73" s="31"/>
      <c r="C73" s="32"/>
      <c r="D73" s="33"/>
      <c r="E73" s="33"/>
      <c r="F73" s="33"/>
      <c r="G73" s="34"/>
      <c r="H73" s="34"/>
      <c r="I73" s="3"/>
      <c r="J73" s="3">
        <f t="shared" si="3"/>
        <v>0</v>
      </c>
      <c r="K73" s="3">
        <f t="shared" si="2"/>
        <v>0</v>
      </c>
    </row>
    <row r="74" spans="1:11" ht="15" customHeight="1" x14ac:dyDescent="0.35">
      <c r="A74" s="22"/>
      <c r="B74" s="23"/>
      <c r="C74" s="24"/>
      <c r="D74" s="25"/>
      <c r="E74" s="25"/>
      <c r="F74" s="25"/>
      <c r="G74" s="26"/>
      <c r="H74" s="26"/>
      <c r="I74" s="3"/>
      <c r="J74" s="3">
        <f t="shared" si="3"/>
        <v>0</v>
      </c>
      <c r="K74" s="3">
        <f t="shared" si="2"/>
        <v>0</v>
      </c>
    </row>
    <row r="75" spans="1:11" ht="15" customHeight="1" x14ac:dyDescent="0.35">
      <c r="A75" s="30"/>
      <c r="B75" s="31"/>
      <c r="C75" s="32"/>
      <c r="D75" s="33"/>
      <c r="E75" s="33"/>
      <c r="F75" s="33"/>
      <c r="G75" s="34"/>
      <c r="H75" s="34"/>
      <c r="I75" s="3"/>
      <c r="J75" s="3">
        <f t="shared" si="3"/>
        <v>0</v>
      </c>
      <c r="K75" s="3">
        <f t="shared" si="2"/>
        <v>0</v>
      </c>
    </row>
    <row r="76" spans="1:11" ht="15" customHeight="1" x14ac:dyDescent="0.35">
      <c r="A76" s="22"/>
      <c r="B76" s="23"/>
      <c r="C76" s="24"/>
      <c r="D76" s="25"/>
      <c r="E76" s="25"/>
      <c r="F76" s="25"/>
      <c r="G76" s="26"/>
      <c r="H76" s="26"/>
      <c r="I76" s="3"/>
      <c r="J76" s="3">
        <f t="shared" si="3"/>
        <v>0</v>
      </c>
      <c r="K76" s="3">
        <f t="shared" si="2"/>
        <v>0</v>
      </c>
    </row>
    <row r="77" spans="1:11" ht="15" customHeight="1" x14ac:dyDescent="0.35">
      <c r="A77" s="30"/>
      <c r="B77" s="31"/>
      <c r="C77" s="32"/>
      <c r="D77" s="33"/>
      <c r="E77" s="33"/>
      <c r="F77" s="33"/>
      <c r="G77" s="34"/>
      <c r="H77" s="34"/>
      <c r="I77" s="3"/>
      <c r="J77" s="3">
        <f t="shared" si="3"/>
        <v>0</v>
      </c>
      <c r="K77" s="3">
        <f t="shared" si="2"/>
        <v>0</v>
      </c>
    </row>
    <row r="78" spans="1:11" ht="15" customHeight="1" x14ac:dyDescent="0.35">
      <c r="A78" s="22"/>
      <c r="B78" s="23"/>
      <c r="C78" s="24"/>
      <c r="D78" s="25"/>
      <c r="E78" s="25"/>
      <c r="F78" s="25"/>
      <c r="G78" s="26"/>
      <c r="H78" s="26"/>
      <c r="I78" s="3"/>
      <c r="J78" s="3">
        <f t="shared" si="3"/>
        <v>0</v>
      </c>
      <c r="K78" s="3">
        <f t="shared" si="2"/>
        <v>0</v>
      </c>
    </row>
    <row r="79" spans="1:11" ht="15" customHeight="1" x14ac:dyDescent="0.35">
      <c r="A79" s="30"/>
      <c r="B79" s="31"/>
      <c r="C79" s="32"/>
      <c r="D79" s="33"/>
      <c r="E79" s="33"/>
      <c r="F79" s="33"/>
      <c r="G79" s="34"/>
      <c r="H79" s="34"/>
      <c r="I79" s="3"/>
      <c r="J79" s="3">
        <f t="shared" si="3"/>
        <v>0</v>
      </c>
      <c r="K79" s="3">
        <f t="shared" si="2"/>
        <v>0</v>
      </c>
    </row>
    <row r="80" spans="1:11" ht="15" customHeight="1" x14ac:dyDescent="0.35">
      <c r="A80" s="22"/>
      <c r="B80" s="23"/>
      <c r="C80" s="24"/>
      <c r="D80" s="25"/>
      <c r="E80" s="25"/>
      <c r="F80" s="25"/>
      <c r="G80" s="26"/>
      <c r="H80" s="26"/>
      <c r="I80" s="3"/>
      <c r="J80" s="3">
        <f t="shared" si="3"/>
        <v>0</v>
      </c>
      <c r="K80" s="3">
        <f t="shared" si="2"/>
        <v>0</v>
      </c>
    </row>
    <row r="81" spans="1:11" ht="15" customHeight="1" x14ac:dyDescent="0.35">
      <c r="A81" s="30"/>
      <c r="B81" s="31"/>
      <c r="C81" s="32"/>
      <c r="D81" s="33"/>
      <c r="E81" s="33"/>
      <c r="F81" s="33"/>
      <c r="G81" s="34"/>
      <c r="H81" s="34"/>
      <c r="I81" s="3"/>
      <c r="J81" s="3">
        <f t="shared" si="3"/>
        <v>0</v>
      </c>
      <c r="K81" s="3">
        <f t="shared" si="2"/>
        <v>0</v>
      </c>
    </row>
    <row r="82" spans="1:11" ht="15" customHeight="1" x14ac:dyDescent="0.35">
      <c r="A82" s="22"/>
      <c r="B82" s="23"/>
      <c r="C82" s="24"/>
      <c r="D82" s="25"/>
      <c r="E82" s="25"/>
      <c r="F82" s="25"/>
      <c r="G82" s="26"/>
      <c r="H82" s="26"/>
      <c r="I82" s="3"/>
      <c r="J82" s="3">
        <f t="shared" si="3"/>
        <v>0</v>
      </c>
      <c r="K82" s="3">
        <f t="shared" si="2"/>
        <v>0</v>
      </c>
    </row>
    <row r="83" spans="1:11" ht="15" customHeight="1" x14ac:dyDescent="0.35">
      <c r="A83" s="30"/>
      <c r="B83" s="31"/>
      <c r="C83" s="32"/>
      <c r="D83" s="33"/>
      <c r="E83" s="33"/>
      <c r="F83" s="33"/>
      <c r="G83" s="34"/>
      <c r="H83" s="34"/>
      <c r="I83" s="3"/>
      <c r="J83" s="3">
        <f t="shared" si="3"/>
        <v>0</v>
      </c>
      <c r="K83" s="3">
        <f t="shared" si="2"/>
        <v>0</v>
      </c>
    </row>
    <row r="84" spans="1:11" ht="15" customHeight="1" x14ac:dyDescent="0.35">
      <c r="A84" s="22"/>
      <c r="B84" s="23"/>
      <c r="C84" s="24"/>
      <c r="D84" s="25"/>
      <c r="E84" s="25"/>
      <c r="F84" s="25"/>
      <c r="G84" s="26"/>
      <c r="H84" s="26"/>
      <c r="I84" s="3"/>
      <c r="J84" s="3">
        <f t="shared" si="3"/>
        <v>0</v>
      </c>
      <c r="K84" s="3">
        <f t="shared" si="2"/>
        <v>0</v>
      </c>
    </row>
    <row r="85" spans="1:11" ht="15" customHeight="1" x14ac:dyDescent="0.35">
      <c r="A85" s="30"/>
      <c r="B85" s="31"/>
      <c r="C85" s="32"/>
      <c r="D85" s="33"/>
      <c r="E85" s="33"/>
      <c r="F85" s="33"/>
      <c r="G85" s="34"/>
      <c r="H85" s="34"/>
      <c r="I85" s="3"/>
      <c r="J85" s="3">
        <f t="shared" si="3"/>
        <v>0</v>
      </c>
      <c r="K85" s="3">
        <f t="shared" si="2"/>
        <v>0</v>
      </c>
    </row>
    <row r="86" spans="1:11" ht="15" customHeight="1" x14ac:dyDescent="0.35">
      <c r="A86" s="22"/>
      <c r="B86" s="23"/>
      <c r="C86" s="24"/>
      <c r="D86" s="25"/>
      <c r="E86" s="25"/>
      <c r="F86" s="25"/>
      <c r="G86" s="26"/>
      <c r="H86" s="26"/>
      <c r="I86" s="3"/>
      <c r="J86" s="3">
        <f t="shared" si="3"/>
        <v>0</v>
      </c>
      <c r="K86" s="3">
        <f t="shared" si="2"/>
        <v>0</v>
      </c>
    </row>
  </sheetData>
  <mergeCells count="12">
    <mergeCell ref="A47:A50"/>
    <mergeCell ref="A2:I2"/>
    <mergeCell ref="A1:K1"/>
    <mergeCell ref="M1:O1"/>
    <mergeCell ref="A42:A44"/>
    <mergeCell ref="A45:A46"/>
    <mergeCell ref="A4:A21"/>
    <mergeCell ref="A22:A26"/>
    <mergeCell ref="A27:A30"/>
    <mergeCell ref="A31:A34"/>
    <mergeCell ref="A35:A38"/>
    <mergeCell ref="A39:A41"/>
  </mergeCells>
  <hyperlinks>
    <hyperlink ref="M47" r:id="rId1" display="https://www.timeplast.com/timemass" xr:uid="{BE5C02B5-C42F-4B2E-B173-894B8A3A7C1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D52"/>
  </sheetPr>
  <dimension ref="A1:Q54"/>
  <sheetViews>
    <sheetView topLeftCell="B1" workbookViewId="0">
      <selection activeCell="N8" sqref="N8"/>
    </sheetView>
  </sheetViews>
  <sheetFormatPr defaultRowHeight="14.5" x14ac:dyDescent="0.35"/>
  <cols>
    <col min="1" max="1" width="31.7265625" bestFit="1" customWidth="1"/>
    <col min="2" max="2" width="14" customWidth="1"/>
    <col min="3" max="3" width="15.6328125" bestFit="1" customWidth="1"/>
    <col min="4" max="4" width="14" customWidth="1"/>
    <col min="5" max="5" width="16" customWidth="1"/>
    <col min="6" max="6" width="14" customWidth="1"/>
    <col min="7" max="7" width="20" customWidth="1"/>
    <col min="8" max="8" width="18" customWidth="1"/>
    <col min="9" max="9" width="16" customWidth="1"/>
    <col min="10" max="10" width="32" customWidth="1"/>
    <col min="14" max="14" width="15.36328125" bestFit="1" customWidth="1"/>
  </cols>
  <sheetData>
    <row r="1" spans="1:17" ht="28" customHeight="1" x14ac:dyDescent="0.35">
      <c r="A1" s="89" t="s">
        <v>59</v>
      </c>
      <c r="B1" s="88"/>
      <c r="C1" s="88"/>
      <c r="D1" s="88"/>
      <c r="E1" s="88"/>
      <c r="F1" s="88"/>
      <c r="G1" s="88"/>
      <c r="H1" s="88"/>
      <c r="I1" s="88"/>
      <c r="J1" s="88"/>
    </row>
    <row r="2" spans="1:17" ht="18" customHeight="1" x14ac:dyDescent="0.35">
      <c r="A2" s="87" t="s">
        <v>60</v>
      </c>
      <c r="B2" s="88"/>
      <c r="C2" s="88"/>
      <c r="D2" s="88"/>
      <c r="E2" s="88"/>
      <c r="F2" s="88"/>
      <c r="G2" s="88"/>
      <c r="H2" s="88"/>
      <c r="I2" s="88"/>
      <c r="J2" s="88"/>
    </row>
    <row r="3" spans="1:17" ht="36" customHeight="1" x14ac:dyDescent="0.35">
      <c r="A3" s="1" t="s">
        <v>61</v>
      </c>
      <c r="B3" s="1" t="s">
        <v>62</v>
      </c>
      <c r="C3" s="1" t="s">
        <v>208</v>
      </c>
      <c r="D3" s="1" t="s">
        <v>244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34</v>
      </c>
      <c r="N3" s="51"/>
      <c r="O3" s="51"/>
      <c r="P3" s="51"/>
      <c r="Q3" s="51"/>
    </row>
    <row r="4" spans="1:17" ht="20" customHeight="1" x14ac:dyDescent="0.35">
      <c r="A4" s="14" t="s">
        <v>148</v>
      </c>
      <c r="B4" s="15" t="s">
        <v>147</v>
      </c>
      <c r="C4" s="15" t="s">
        <v>209</v>
      </c>
      <c r="D4" s="15">
        <v>15.5</v>
      </c>
      <c r="E4" s="16">
        <f xml:space="preserve"> IF(D4="","",D4 * _xlfn.XLOOKUP(C4, Filament!H:H, Filament!J:J))</f>
        <v>0.201345</v>
      </c>
      <c r="F4" s="17">
        <v>8.3333333333333329E-2</v>
      </c>
      <c r="G4" s="18"/>
      <c r="H4" s="19"/>
      <c r="I4" s="20">
        <v>1</v>
      </c>
      <c r="J4" s="21"/>
      <c r="O4" s="52"/>
      <c r="Q4" s="52"/>
    </row>
    <row r="5" spans="1:17" ht="20" customHeight="1" x14ac:dyDescent="0.35">
      <c r="A5" s="14" t="s">
        <v>253</v>
      </c>
      <c r="B5" s="15" t="s">
        <v>147</v>
      </c>
      <c r="C5" s="15" t="s">
        <v>216</v>
      </c>
      <c r="D5" s="15">
        <v>15.5</v>
      </c>
      <c r="E5" s="16">
        <f xml:space="preserve"> IF(D5="","",D5 * _xlfn.XLOOKUP(C5, Filament!H:H, Filament!J:J))</f>
        <v>0.38734499999999999</v>
      </c>
      <c r="F5" s="17">
        <v>8.3333333333333329E-2</v>
      </c>
      <c r="G5" s="18"/>
      <c r="H5" s="19"/>
      <c r="I5" s="20">
        <v>1</v>
      </c>
      <c r="J5" s="21"/>
      <c r="O5" s="52"/>
      <c r="Q5" s="52"/>
    </row>
    <row r="6" spans="1:17" ht="20" customHeight="1" x14ac:dyDescent="0.35">
      <c r="A6" s="14" t="s">
        <v>255</v>
      </c>
      <c r="B6" s="15" t="s">
        <v>147</v>
      </c>
      <c r="C6" s="15" t="s">
        <v>225</v>
      </c>
      <c r="D6" s="15">
        <v>15.5</v>
      </c>
      <c r="E6" s="16">
        <f xml:space="preserve"> IF(D6="","",D6 * _xlfn.XLOOKUP(C6, Filament!H:H, Filament!J:J))</f>
        <v>0.69734499999999999</v>
      </c>
      <c r="F6" s="17">
        <v>8.3333333333333329E-2</v>
      </c>
      <c r="G6" s="18"/>
      <c r="H6" s="19"/>
      <c r="I6" s="20">
        <v>1</v>
      </c>
      <c r="J6" s="21"/>
    </row>
    <row r="7" spans="1:17" ht="20" customHeight="1" x14ac:dyDescent="0.35">
      <c r="A7" s="14" t="s">
        <v>252</v>
      </c>
      <c r="B7" s="15" t="s">
        <v>147</v>
      </c>
      <c r="C7" s="15" t="s">
        <v>209</v>
      </c>
      <c r="D7" s="15">
        <v>15.5</v>
      </c>
      <c r="E7" s="16">
        <f xml:space="preserve"> IF(D7="","",D7 * _xlfn.XLOOKUP(C7, Filament!H:H, Filament!J:J))</f>
        <v>0.201345</v>
      </c>
      <c r="F7" s="17">
        <v>1</v>
      </c>
      <c r="G7" s="18"/>
      <c r="H7" s="19"/>
      <c r="I7" s="20">
        <v>0</v>
      </c>
      <c r="J7" s="21"/>
    </row>
    <row r="8" spans="1:17" ht="20" customHeight="1" x14ac:dyDescent="0.35">
      <c r="A8" s="14" t="s">
        <v>149</v>
      </c>
      <c r="B8" s="15" t="s">
        <v>147</v>
      </c>
      <c r="C8" s="15" t="s">
        <v>209</v>
      </c>
      <c r="D8" s="15">
        <v>29.9</v>
      </c>
      <c r="E8" s="16">
        <f xml:space="preserve"> IF(D8="","",D8 * _xlfn.XLOOKUP(C8, Filament!H:H, Filament!J:J))</f>
        <v>0.388401</v>
      </c>
      <c r="F8" s="17">
        <v>0.75</v>
      </c>
      <c r="G8" s="18"/>
      <c r="H8" s="19"/>
      <c r="I8" s="20">
        <v>1</v>
      </c>
      <c r="J8" s="21"/>
    </row>
    <row r="9" spans="1:17" ht="20" customHeight="1" x14ac:dyDescent="0.35">
      <c r="A9" s="14" t="s">
        <v>256</v>
      </c>
      <c r="B9" s="15" t="s">
        <v>147</v>
      </c>
      <c r="C9" s="15" t="s">
        <v>219</v>
      </c>
      <c r="D9" s="15">
        <v>29.9</v>
      </c>
      <c r="E9" s="16">
        <f xml:space="preserve"> IF(D9="","",D9 * _xlfn.XLOOKUP(C9, Filament!H:H, Filament!J:J))</f>
        <v>0.74720099999999989</v>
      </c>
      <c r="F9" s="17">
        <v>0.75</v>
      </c>
      <c r="G9" s="18"/>
      <c r="H9" s="19"/>
      <c r="I9" s="20">
        <v>1</v>
      </c>
      <c r="J9" s="21"/>
    </row>
    <row r="10" spans="1:17" ht="20" customHeight="1" x14ac:dyDescent="0.35">
      <c r="A10" s="14" t="s">
        <v>254</v>
      </c>
      <c r="B10" s="15" t="s">
        <v>147</v>
      </c>
      <c r="C10" s="15" t="s">
        <v>209</v>
      </c>
      <c r="D10" s="15">
        <v>29.9</v>
      </c>
      <c r="E10" s="16">
        <f xml:space="preserve"> IF(D10="","",D10 * _xlfn.XLOOKUP(C10, Filament!H:H, Filament!J:J))</f>
        <v>0.388401</v>
      </c>
      <c r="F10" s="17">
        <v>6</v>
      </c>
      <c r="G10" s="18"/>
      <c r="H10" s="19"/>
      <c r="I10" s="20">
        <v>1</v>
      </c>
      <c r="J10" s="21"/>
    </row>
    <row r="11" spans="1:17" ht="20" customHeight="1" x14ac:dyDescent="0.35">
      <c r="A11" s="14" t="s">
        <v>154</v>
      </c>
      <c r="B11" s="15" t="s">
        <v>147</v>
      </c>
      <c r="C11" s="15" t="s">
        <v>209</v>
      </c>
      <c r="D11" s="15">
        <v>15.5</v>
      </c>
      <c r="E11" s="16">
        <f xml:space="preserve"> IF(D11="","",D11 * _xlfn.XLOOKUP(C11, Filament!H:H, Filament!J:J))</f>
        <v>0.201345</v>
      </c>
      <c r="F11" s="17">
        <v>0.25</v>
      </c>
      <c r="G11" s="18"/>
      <c r="H11" s="19"/>
      <c r="I11" s="20">
        <v>2</v>
      </c>
      <c r="J11" s="21"/>
      <c r="K11" s="56"/>
    </row>
    <row r="12" spans="1:17" ht="20" customHeight="1" x14ac:dyDescent="0.35">
      <c r="A12" s="14" t="s">
        <v>257</v>
      </c>
      <c r="B12" s="15" t="s">
        <v>147</v>
      </c>
      <c r="C12" s="15" t="s">
        <v>223</v>
      </c>
      <c r="D12" s="15">
        <v>15.5</v>
      </c>
      <c r="E12" s="16">
        <f xml:space="preserve"> IF(D12="","",D12 * _xlfn.XLOOKUP(C12, Filament!H:H, Filament!J:J))</f>
        <v>0.38734499999999999</v>
      </c>
      <c r="F12" s="17">
        <v>0.25</v>
      </c>
      <c r="G12" s="18"/>
      <c r="H12" s="19"/>
      <c r="I12" s="20">
        <v>2</v>
      </c>
      <c r="J12" s="21"/>
      <c r="K12" s="56"/>
    </row>
    <row r="13" spans="1:17" ht="20" customHeight="1" x14ac:dyDescent="0.35">
      <c r="A13" s="14" t="s">
        <v>155</v>
      </c>
      <c r="B13" s="15" t="s">
        <v>147</v>
      </c>
      <c r="C13" s="15" t="s">
        <v>209</v>
      </c>
      <c r="D13" s="15">
        <v>29.12</v>
      </c>
      <c r="E13" s="16">
        <f xml:space="preserve"> IF(D13="","",D13 * _xlfn.XLOOKUP(C13, Filament!H:H, Filament!J:J))</f>
        <v>0.37826880000000002</v>
      </c>
      <c r="F13" s="17">
        <v>0.16666666666666666</v>
      </c>
      <c r="G13" s="18"/>
      <c r="H13" s="19"/>
      <c r="I13" s="20">
        <v>2</v>
      </c>
      <c r="J13" s="21"/>
    </row>
    <row r="14" spans="1:17" ht="20" customHeight="1" x14ac:dyDescent="0.35">
      <c r="A14" s="14" t="s">
        <v>258</v>
      </c>
      <c r="B14" s="15" t="s">
        <v>147</v>
      </c>
      <c r="C14" s="15" t="s">
        <v>218</v>
      </c>
      <c r="D14" s="15">
        <v>29.12</v>
      </c>
      <c r="E14" s="16">
        <f xml:space="preserve"> IF(D14="","",D14 * _xlfn.XLOOKUP(C14, Filament!H:H, Filament!J:J))</f>
        <v>0.72770879999999993</v>
      </c>
      <c r="F14" s="17">
        <v>0.16666666666666666</v>
      </c>
      <c r="G14" s="18"/>
      <c r="H14" s="19"/>
      <c r="I14" s="20">
        <v>2</v>
      </c>
      <c r="J14" s="21"/>
    </row>
    <row r="15" spans="1:17" ht="20" customHeight="1" x14ac:dyDescent="0.35">
      <c r="A15" s="14" t="s">
        <v>156</v>
      </c>
      <c r="B15" s="15" t="s">
        <v>147</v>
      </c>
      <c r="C15" s="15" t="s">
        <v>209</v>
      </c>
      <c r="D15" s="15">
        <v>183</v>
      </c>
      <c r="E15" s="16">
        <f xml:space="preserve"> IF(D15="","",D15 * _xlfn.XLOOKUP(C15, Filament!H:H, Filament!J:J))</f>
        <v>2.37717</v>
      </c>
      <c r="F15" s="17">
        <v>0.16666666666666666</v>
      </c>
      <c r="G15" s="18"/>
      <c r="H15" s="19"/>
      <c r="I15" s="20">
        <v>5</v>
      </c>
      <c r="J15" s="21"/>
    </row>
    <row r="16" spans="1:17" ht="20" customHeight="1" x14ac:dyDescent="0.35">
      <c r="A16" s="14" t="s">
        <v>259</v>
      </c>
      <c r="B16" s="15" t="s">
        <v>147</v>
      </c>
      <c r="C16" s="15" t="s">
        <v>222</v>
      </c>
      <c r="D16" s="15">
        <v>183</v>
      </c>
      <c r="E16" s="16">
        <f xml:space="preserve"> IF(D16="","",D16 * _xlfn.XLOOKUP(C16, Filament!H:H, Filament!J:J))</f>
        <v>4.5731699999999993</v>
      </c>
      <c r="F16" s="17">
        <v>8.3333333333333329E-2</v>
      </c>
      <c r="G16" s="18"/>
      <c r="H16" s="19"/>
      <c r="I16" s="20">
        <v>5</v>
      </c>
      <c r="J16" s="21"/>
    </row>
    <row r="17" spans="1:10" ht="20" customHeight="1" x14ac:dyDescent="0.35">
      <c r="A17" s="14" t="s">
        <v>157</v>
      </c>
      <c r="B17" s="15" t="s">
        <v>147</v>
      </c>
      <c r="C17" s="15" t="s">
        <v>209</v>
      </c>
      <c r="D17" s="15">
        <v>102</v>
      </c>
      <c r="E17" s="16">
        <f xml:space="preserve"> IF(D17="","",D17 * _xlfn.XLOOKUP(C17, Filament!H:H, Filament!J:J))</f>
        <v>1.32498</v>
      </c>
      <c r="F17" s="17">
        <v>0.16666666666666666</v>
      </c>
      <c r="G17" s="18"/>
      <c r="H17" s="19"/>
      <c r="I17" s="20">
        <v>5</v>
      </c>
      <c r="J17" s="21"/>
    </row>
    <row r="18" spans="1:10" ht="20" customHeight="1" x14ac:dyDescent="0.35">
      <c r="A18" s="14" t="s">
        <v>260</v>
      </c>
      <c r="B18" s="15" t="s">
        <v>147</v>
      </c>
      <c r="C18" s="15" t="s">
        <v>220</v>
      </c>
      <c r="D18" s="15">
        <v>102</v>
      </c>
      <c r="E18" s="16">
        <f xml:space="preserve"> IF(D18="","",D18 * _xlfn.XLOOKUP(C18, Filament!H:H, Filament!J:J))</f>
        <v>2.5489799999999998</v>
      </c>
      <c r="F18" s="17">
        <v>0.16666666666666666</v>
      </c>
      <c r="G18" s="18"/>
      <c r="H18" s="19"/>
      <c r="I18" s="20">
        <v>5</v>
      </c>
      <c r="J18" s="21"/>
    </row>
    <row r="19" spans="1:10" ht="20" customHeight="1" x14ac:dyDescent="0.35">
      <c r="A19" s="14" t="s">
        <v>261</v>
      </c>
      <c r="B19" s="15" t="s">
        <v>147</v>
      </c>
      <c r="C19" s="15" t="s">
        <v>209</v>
      </c>
      <c r="D19" s="15">
        <v>44</v>
      </c>
      <c r="E19" s="16">
        <f xml:space="preserve"> IF(D19="","",D19 * _xlfn.XLOOKUP(C19, Filament!H:H, Filament!J:J))</f>
        <v>0.57155999999999996</v>
      </c>
      <c r="F19" s="17">
        <v>1</v>
      </c>
      <c r="G19" s="18"/>
      <c r="H19" s="19"/>
      <c r="I19" s="20">
        <v>2</v>
      </c>
      <c r="J19" s="21"/>
    </row>
    <row r="20" spans="1:10" ht="20" customHeight="1" x14ac:dyDescent="0.35">
      <c r="A20" s="14" t="s">
        <v>262</v>
      </c>
      <c r="B20" s="15" t="s">
        <v>147</v>
      </c>
      <c r="C20" s="15" t="s">
        <v>209</v>
      </c>
      <c r="D20" s="15">
        <v>762</v>
      </c>
      <c r="E20" s="16">
        <f xml:space="preserve"> IF(D20="","",D20 * _xlfn.XLOOKUP(C20, Filament!H:H, Filament!J:J))</f>
        <v>9.8983799999999995</v>
      </c>
      <c r="F20" s="17">
        <v>1</v>
      </c>
      <c r="G20" s="18"/>
      <c r="H20" s="19"/>
      <c r="I20" s="20">
        <v>2</v>
      </c>
      <c r="J20" s="21"/>
    </row>
    <row r="21" spans="1:10" ht="20" customHeight="1" x14ac:dyDescent="0.35">
      <c r="A21" s="59" t="s">
        <v>277</v>
      </c>
      <c r="B21" s="60" t="s">
        <v>147</v>
      </c>
      <c r="C21" s="15" t="s">
        <v>209</v>
      </c>
      <c r="D21" s="60">
        <v>4</v>
      </c>
      <c r="E21" s="61">
        <f xml:space="preserve"> IF(D21="","",D21 * _xlfn.XLOOKUP(C21, [1]Filament!H:H, [1]Filament!J:J))</f>
        <v>5.1959999999999999E-2</v>
      </c>
      <c r="F21" s="17">
        <v>8.3333333333333329E-2</v>
      </c>
      <c r="G21" s="18"/>
      <c r="H21" s="19"/>
      <c r="I21" s="20"/>
      <c r="J21" s="21"/>
    </row>
    <row r="22" spans="1:10" ht="20" customHeight="1" x14ac:dyDescent="0.35">
      <c r="A22" s="59" t="s">
        <v>278</v>
      </c>
      <c r="B22" s="60" t="s">
        <v>147</v>
      </c>
      <c r="C22" s="15" t="s">
        <v>209</v>
      </c>
      <c r="D22" s="60">
        <v>17</v>
      </c>
      <c r="E22" s="61">
        <f xml:space="preserve"> IF(D22="","",D22 * _xlfn.XLOOKUP(C22, [1]Filament!H:H, [1]Filament!J:J))</f>
        <v>0.22083</v>
      </c>
      <c r="F22" s="17">
        <v>8.3333333333333329E-2</v>
      </c>
      <c r="G22" s="18"/>
      <c r="H22" s="19"/>
      <c r="I22" s="20"/>
      <c r="J22" s="21"/>
    </row>
    <row r="23" spans="1:10" ht="20" customHeight="1" x14ac:dyDescent="0.35">
      <c r="A23" s="59" t="s">
        <v>298</v>
      </c>
      <c r="B23" s="60" t="s">
        <v>147</v>
      </c>
      <c r="C23" s="15" t="s">
        <v>209</v>
      </c>
      <c r="D23" s="60">
        <v>5</v>
      </c>
      <c r="E23" s="61">
        <f xml:space="preserve"> IF(D23="","",D23 * _xlfn.XLOOKUP(C23, [1]Filament!H:H, [1]Filament!J:J))</f>
        <v>6.4949999999999994E-2</v>
      </c>
      <c r="F23" s="17">
        <v>8.3333333333333329E-2</v>
      </c>
      <c r="G23" s="18"/>
      <c r="H23" s="19"/>
      <c r="I23" s="20"/>
      <c r="J23" s="21"/>
    </row>
    <row r="24" spans="1:10" ht="20" customHeight="1" x14ac:dyDescent="0.35">
      <c r="A24" s="59" t="s">
        <v>279</v>
      </c>
      <c r="B24" s="60" t="s">
        <v>147</v>
      </c>
      <c r="C24" s="15" t="s">
        <v>209</v>
      </c>
      <c r="D24" s="60">
        <v>3</v>
      </c>
      <c r="E24" s="61">
        <f xml:space="preserve"> IF(D24="","",D24 * _xlfn.XLOOKUP(C24, [1]Filament!H:H, [1]Filament!J:J))</f>
        <v>3.8969999999999998E-2</v>
      </c>
      <c r="F24" s="17">
        <v>8.3333333333333329E-2</v>
      </c>
      <c r="G24" s="18"/>
      <c r="H24" s="19"/>
      <c r="I24" s="20"/>
      <c r="J24" s="21"/>
    </row>
    <row r="25" spans="1:10" ht="20" customHeight="1" x14ac:dyDescent="0.35">
      <c r="A25" s="59" t="s">
        <v>280</v>
      </c>
      <c r="B25" s="60" t="s">
        <v>147</v>
      </c>
      <c r="C25" s="15" t="s">
        <v>209</v>
      </c>
      <c r="D25" s="60">
        <v>214.54</v>
      </c>
      <c r="E25" s="61">
        <f xml:space="preserve"> IF(D25="","",D25 * _xlfn.XLOOKUP(C25, [1]Filament!H:H, [1]Filament!J:J))</f>
        <v>2.7868746</v>
      </c>
      <c r="F25" s="62">
        <v>1</v>
      </c>
      <c r="G25" s="18"/>
      <c r="H25" s="19"/>
      <c r="I25" s="20"/>
      <c r="J25" s="21"/>
    </row>
    <row r="26" spans="1:10" ht="20" customHeight="1" x14ac:dyDescent="0.35">
      <c r="A26" s="59" t="s">
        <v>281</v>
      </c>
      <c r="B26" s="60" t="s">
        <v>147</v>
      </c>
      <c r="C26" s="15" t="s">
        <v>282</v>
      </c>
      <c r="D26" s="15">
        <v>144</v>
      </c>
      <c r="E26" s="16">
        <f xml:space="preserve"> IF(D26="","",D26 * _xlfn.XLOOKUP(C26, [2]Filament!H:H, [2]Filament!J:J))</f>
        <v>8.2244571428571422</v>
      </c>
      <c r="F26" s="17">
        <v>8.3333333333333329E-2</v>
      </c>
      <c r="G26" s="18"/>
      <c r="H26" s="19"/>
      <c r="I26" s="20"/>
      <c r="J26" s="21"/>
    </row>
    <row r="27" spans="1:10" ht="20" customHeight="1" x14ac:dyDescent="0.35">
      <c r="A27" s="59" t="s">
        <v>283</v>
      </c>
      <c r="B27" s="60" t="s">
        <v>147</v>
      </c>
      <c r="C27" s="15" t="s">
        <v>282</v>
      </c>
      <c r="D27" s="15">
        <v>44</v>
      </c>
      <c r="E27" s="16">
        <f xml:space="preserve"> IF(D27="","",D27 * _xlfn.XLOOKUP(C27, [2]Filament!H:H, [2]Filament!J:J))</f>
        <v>2.5130285714285714</v>
      </c>
      <c r="F27" s="17">
        <v>8.3333333333333329E-2</v>
      </c>
      <c r="G27" s="18"/>
      <c r="H27" s="19"/>
      <c r="I27" s="20"/>
      <c r="J27" s="21"/>
    </row>
    <row r="28" spans="1:10" ht="20" customHeight="1" x14ac:dyDescent="0.35">
      <c r="A28" s="59" t="s">
        <v>285</v>
      </c>
      <c r="B28" s="60" t="s">
        <v>147</v>
      </c>
      <c r="C28" s="15" t="s">
        <v>284</v>
      </c>
      <c r="D28" s="15">
        <v>44</v>
      </c>
      <c r="E28" s="16">
        <f xml:space="preserve"> IF(D28="","",D28 * _xlfn.XLOOKUP(C28, [2]Filament!H:H, [2]Filament!J:J))</f>
        <v>3.1415999999999995</v>
      </c>
      <c r="F28" s="17">
        <v>8.3333333333333329E-2</v>
      </c>
      <c r="G28" s="18"/>
      <c r="H28" s="19"/>
      <c r="I28" s="20"/>
      <c r="J28" s="21"/>
    </row>
    <row r="29" spans="1:10" ht="20" customHeight="1" x14ac:dyDescent="0.35">
      <c r="A29" s="59" t="s">
        <v>286</v>
      </c>
      <c r="B29" s="60" t="s">
        <v>147</v>
      </c>
      <c r="C29" s="15" t="s">
        <v>209</v>
      </c>
      <c r="D29" s="15">
        <v>106</v>
      </c>
      <c r="E29" s="16">
        <f xml:space="preserve"> IF(D29="","",D29 * _xlfn.XLOOKUP(C29, [2]Filament!H:H, [2]Filament!J:J))</f>
        <v>1.3769400000000001</v>
      </c>
      <c r="F29" s="17">
        <v>8.3000000000000004E-2</v>
      </c>
      <c r="G29" s="18"/>
      <c r="H29" s="19"/>
      <c r="I29" s="20"/>
      <c r="J29" s="21"/>
    </row>
    <row r="30" spans="1:10" ht="20" customHeight="1" x14ac:dyDescent="0.35">
      <c r="A30" s="14" t="s">
        <v>287</v>
      </c>
      <c r="B30" s="15" t="s">
        <v>147</v>
      </c>
      <c r="C30" s="15" t="s">
        <v>209</v>
      </c>
      <c r="D30" s="15">
        <v>35</v>
      </c>
      <c r="E30" s="16">
        <f xml:space="preserve"> IF(D30="","",D30 * _xlfn.XLOOKUP(C30, Filament!H:H, Filament!J:J))</f>
        <v>0.45465</v>
      </c>
      <c r="F30" s="17">
        <v>8.3333333333333329E-2</v>
      </c>
      <c r="G30" s="18"/>
      <c r="H30" s="19"/>
      <c r="I30" s="20"/>
      <c r="J30" s="21"/>
    </row>
    <row r="31" spans="1:10" ht="20" customHeight="1" x14ac:dyDescent="0.35">
      <c r="A31" s="59" t="s">
        <v>297</v>
      </c>
      <c r="B31" s="60" t="s">
        <v>147</v>
      </c>
      <c r="C31" s="15" t="s">
        <v>209</v>
      </c>
      <c r="D31" s="15">
        <v>42</v>
      </c>
      <c r="E31" s="16">
        <f xml:space="preserve"> IF(D31="","",D31 * _xlfn.XLOOKUP(C31, Filament!H:H, Filament!J:J))</f>
        <v>0.54557999999999995</v>
      </c>
      <c r="F31" s="17">
        <v>0.16666666666666666</v>
      </c>
      <c r="G31" s="18"/>
      <c r="H31" s="19"/>
      <c r="I31" s="20"/>
      <c r="J31" s="21"/>
    </row>
    <row r="32" spans="1:10" ht="20" customHeight="1" x14ac:dyDescent="0.35">
      <c r="A32" s="14" t="s">
        <v>299</v>
      </c>
      <c r="B32" s="15" t="s">
        <v>147</v>
      </c>
      <c r="C32" s="15" t="s">
        <v>209</v>
      </c>
      <c r="D32" s="15">
        <v>59</v>
      </c>
      <c r="E32" s="16">
        <f xml:space="preserve"> IF(D32="","",D32 * _xlfn.XLOOKUP(C32, Filament!H:H, Filament!J:J))</f>
        <v>0.76641000000000004</v>
      </c>
      <c r="F32" s="17">
        <v>8.3333333333333329E-2</v>
      </c>
      <c r="G32" s="18"/>
      <c r="H32" s="19"/>
      <c r="I32" s="20"/>
      <c r="J32" s="21"/>
    </row>
    <row r="33" spans="1:10" ht="20" customHeight="1" x14ac:dyDescent="0.35">
      <c r="A33" s="14" t="s">
        <v>300</v>
      </c>
      <c r="B33" s="15" t="s">
        <v>147</v>
      </c>
      <c r="C33" s="15" t="s">
        <v>209</v>
      </c>
      <c r="D33" s="15">
        <v>76</v>
      </c>
      <c r="E33" s="16">
        <f xml:space="preserve"> IF(D33="","",D33 * _xlfn.XLOOKUP(C33, Filament!H:H, Filament!J:J))</f>
        <v>0.98724000000000001</v>
      </c>
      <c r="F33" s="17">
        <v>0.16666666666666666</v>
      </c>
      <c r="G33" s="18"/>
      <c r="H33" s="19"/>
      <c r="I33" s="20"/>
      <c r="J33" s="21"/>
    </row>
    <row r="34" spans="1:10" ht="20" customHeight="1" x14ac:dyDescent="0.35">
      <c r="A34" s="14" t="s">
        <v>302</v>
      </c>
      <c r="B34" s="15" t="s">
        <v>147</v>
      </c>
      <c r="C34" s="15" t="s">
        <v>209</v>
      </c>
      <c r="D34" s="15">
        <v>38</v>
      </c>
      <c r="E34" s="16">
        <f xml:space="preserve"> IF(D34="","",D34 * _xlfn.XLOOKUP(C34, Filament!H:H, Filament!J:J))</f>
        <v>0.49362</v>
      </c>
      <c r="F34" s="17">
        <v>8.3333333333333329E-2</v>
      </c>
      <c r="G34" s="18"/>
      <c r="H34" s="19"/>
      <c r="I34" s="20"/>
      <c r="J34" s="21"/>
    </row>
    <row r="35" spans="1:10" ht="20" customHeight="1" x14ac:dyDescent="0.35">
      <c r="A35" s="14" t="s">
        <v>304</v>
      </c>
      <c r="B35" s="15" t="s">
        <v>147</v>
      </c>
      <c r="C35" s="15" t="s">
        <v>209</v>
      </c>
      <c r="D35" s="15">
        <v>11</v>
      </c>
      <c r="E35" s="16">
        <f xml:space="preserve"> IF(D35="","",D35 * _xlfn.XLOOKUP(C35, Filament!H:H, Filament!J:J))</f>
        <v>0.14288999999999999</v>
      </c>
      <c r="F35" s="17">
        <v>0.5</v>
      </c>
      <c r="G35" s="18"/>
      <c r="H35" s="19"/>
      <c r="I35" s="20"/>
      <c r="J35" s="21"/>
    </row>
    <row r="36" spans="1:10" ht="20" customHeight="1" x14ac:dyDescent="0.35">
      <c r="A36" s="14" t="s">
        <v>303</v>
      </c>
      <c r="B36" s="15" t="s">
        <v>147</v>
      </c>
      <c r="C36" s="15" t="s">
        <v>209</v>
      </c>
      <c r="D36" s="15">
        <v>11</v>
      </c>
      <c r="E36" s="16">
        <f xml:space="preserve"> IF(D36="","",D36 * _xlfn.XLOOKUP(C36, Filament!H:H, Filament!J:J))</f>
        <v>0.14288999999999999</v>
      </c>
      <c r="F36" s="17">
        <v>8.3000000000000004E-2</v>
      </c>
      <c r="G36" s="18"/>
      <c r="H36" s="19"/>
      <c r="I36" s="20"/>
      <c r="J36" s="21"/>
    </row>
    <row r="37" spans="1:10" ht="20" customHeight="1" x14ac:dyDescent="0.35">
      <c r="A37" s="14" t="s">
        <v>305</v>
      </c>
      <c r="B37" s="15" t="s">
        <v>147</v>
      </c>
      <c r="C37" s="15" t="s">
        <v>211</v>
      </c>
      <c r="D37" s="15">
        <v>557.75</v>
      </c>
      <c r="E37" s="16">
        <f xml:space="preserve"> IF(D37="","",D37 * _xlfn.XLOOKUP(C37, Filament!H:H, Filament!J:J))</f>
        <v>7.2451724999999998</v>
      </c>
      <c r="F37" s="17">
        <v>8.3333333333333329E-2</v>
      </c>
      <c r="G37" s="18"/>
      <c r="H37" s="19"/>
      <c r="I37" s="20"/>
      <c r="J37" s="21"/>
    </row>
    <row r="38" spans="1:10" ht="20" customHeight="1" x14ac:dyDescent="0.35">
      <c r="A38" s="14" t="s">
        <v>306</v>
      </c>
      <c r="B38" s="15" t="s">
        <v>147</v>
      </c>
      <c r="C38" s="15" t="s">
        <v>211</v>
      </c>
      <c r="D38" s="15">
        <v>157.99</v>
      </c>
      <c r="E38" s="16">
        <f xml:space="preserve"> IF(D38="","",D38 * _xlfn.XLOOKUP(C38, Filament!H:H, Filament!J:J))</f>
        <v>2.0522901</v>
      </c>
      <c r="F38" s="17">
        <v>0.16666666666666666</v>
      </c>
      <c r="G38" s="18"/>
      <c r="H38" s="19"/>
      <c r="I38" s="20"/>
      <c r="J38" s="21"/>
    </row>
    <row r="39" spans="1:10" ht="20" customHeight="1" x14ac:dyDescent="0.35">
      <c r="A39" s="14"/>
      <c r="B39" s="15"/>
      <c r="C39" s="15"/>
      <c r="D39" s="15"/>
      <c r="E39" s="16" t="str">
        <f xml:space="preserve"> IF(D39="","",D39 * _xlfn.XLOOKUP(C39, Filament!H:H, Filament!J:J))</f>
        <v/>
      </c>
      <c r="F39" s="17"/>
      <c r="G39" s="18"/>
      <c r="H39" s="19"/>
      <c r="I39" s="20"/>
      <c r="J39" s="21"/>
    </row>
    <row r="40" spans="1:10" ht="20" customHeight="1" x14ac:dyDescent="0.35">
      <c r="A40" s="14"/>
      <c r="B40" s="15"/>
      <c r="C40" s="15"/>
      <c r="D40" s="15"/>
      <c r="E40" s="16" t="str">
        <f xml:space="preserve"> IF(D40="","",D40 * _xlfn.XLOOKUP(C40, Filament!H:H, Filament!J:J))</f>
        <v/>
      </c>
      <c r="F40" s="17"/>
      <c r="G40" s="18"/>
      <c r="H40" s="19"/>
      <c r="I40" s="20"/>
      <c r="J40" s="21"/>
    </row>
    <row r="41" spans="1:10" ht="20" customHeight="1" x14ac:dyDescent="0.35">
      <c r="A41" s="14"/>
      <c r="B41" s="15"/>
      <c r="C41" s="15"/>
      <c r="D41" s="15"/>
      <c r="E41" s="16" t="str">
        <f xml:space="preserve"> IF(D41="","",D41 * _xlfn.XLOOKUP(C41, Filament!H:H, Filament!J:J))</f>
        <v/>
      </c>
      <c r="F41" s="17"/>
      <c r="G41" s="18"/>
      <c r="H41" s="19"/>
      <c r="I41" s="20"/>
      <c r="J41" s="21"/>
    </row>
    <row r="42" spans="1:10" ht="20" customHeight="1" x14ac:dyDescent="0.35">
      <c r="A42" s="14"/>
      <c r="B42" s="15"/>
      <c r="C42" s="15"/>
      <c r="D42" s="15"/>
      <c r="E42" s="16" t="str">
        <f xml:space="preserve"> IF(D42="","",D42 * _xlfn.XLOOKUP(C42, Filament!H:H, Filament!J:J))</f>
        <v/>
      </c>
      <c r="F42" s="17"/>
      <c r="G42" s="18"/>
      <c r="H42" s="19"/>
      <c r="I42" s="20"/>
      <c r="J42" s="21"/>
    </row>
    <row r="43" spans="1:10" ht="20" customHeight="1" x14ac:dyDescent="0.35">
      <c r="A43" s="14"/>
      <c r="B43" s="15"/>
      <c r="C43" s="15"/>
      <c r="D43" s="15"/>
      <c r="E43" s="16" t="str">
        <f xml:space="preserve"> IF(D43="","",D43 * _xlfn.XLOOKUP(C43, Filament!H:H, Filament!J:J))</f>
        <v/>
      </c>
      <c r="F43" s="17"/>
      <c r="G43" s="18"/>
      <c r="H43" s="19"/>
      <c r="I43" s="20"/>
      <c r="J43" s="21"/>
    </row>
    <row r="44" spans="1:10" ht="20" customHeight="1" x14ac:dyDescent="0.35">
      <c r="A44" s="14"/>
      <c r="B44" s="15"/>
      <c r="C44" s="15"/>
      <c r="D44" s="15"/>
      <c r="E44" s="16" t="str">
        <f xml:space="preserve"> IF(D44="","",D44 * _xlfn.XLOOKUP(C44, Filament!H:H, Filament!J:J))</f>
        <v/>
      </c>
      <c r="F44" s="17"/>
      <c r="G44" s="18"/>
      <c r="H44" s="19"/>
      <c r="I44" s="20"/>
      <c r="J44" s="21"/>
    </row>
    <row r="45" spans="1:10" ht="20" customHeight="1" x14ac:dyDescent="0.35">
      <c r="A45" s="14"/>
      <c r="B45" s="15"/>
      <c r="C45" s="15"/>
      <c r="D45" s="15"/>
      <c r="E45" s="16" t="str">
        <f xml:space="preserve"> IF(D45="","",D45 * _xlfn.XLOOKUP(C45, Filament!H:H, Filament!J:J))</f>
        <v/>
      </c>
      <c r="F45" s="17"/>
      <c r="G45" s="18"/>
      <c r="H45" s="19"/>
      <c r="I45" s="20"/>
      <c r="J45" s="21"/>
    </row>
    <row r="46" spans="1:10" ht="20" customHeight="1" x14ac:dyDescent="0.35">
      <c r="A46" s="14"/>
      <c r="B46" s="15"/>
      <c r="C46" s="15"/>
      <c r="D46" s="15"/>
      <c r="E46" s="16" t="str">
        <f xml:space="preserve"> IF(D46="","",D46 * _xlfn.XLOOKUP(C46, Filament!H:H, Filament!J:J))</f>
        <v/>
      </c>
      <c r="F46" s="17"/>
      <c r="G46" s="18"/>
      <c r="H46" s="19"/>
      <c r="I46" s="20"/>
      <c r="J46" s="21"/>
    </row>
    <row r="47" spans="1:10" ht="20" customHeight="1" x14ac:dyDescent="0.35">
      <c r="A47" s="14"/>
      <c r="B47" s="15"/>
      <c r="C47" s="15"/>
      <c r="D47" s="15"/>
      <c r="E47" s="16" t="str">
        <f xml:space="preserve"> IF(D47="","",D47 * _xlfn.XLOOKUP(C47, Filament!H:H, Filament!J:J))</f>
        <v/>
      </c>
      <c r="F47" s="17"/>
      <c r="G47" s="18"/>
      <c r="H47" s="19"/>
      <c r="I47" s="20"/>
      <c r="J47" s="21"/>
    </row>
    <row r="48" spans="1:10" ht="20" customHeight="1" x14ac:dyDescent="0.35">
      <c r="A48" s="14"/>
      <c r="B48" s="15"/>
      <c r="C48" s="15"/>
      <c r="D48" s="15"/>
      <c r="E48" s="16" t="str">
        <f xml:space="preserve"> IF(D48="","",D48 * _xlfn.XLOOKUP(C48, Filament!H:H, Filament!J:J))</f>
        <v/>
      </c>
      <c r="F48" s="17"/>
      <c r="G48" s="18"/>
      <c r="H48" s="19"/>
      <c r="I48" s="20"/>
      <c r="J48" s="21"/>
    </row>
    <row r="49" spans="1:10" ht="20" customHeight="1" x14ac:dyDescent="0.35">
      <c r="A49" s="14"/>
      <c r="B49" s="15"/>
      <c r="C49" s="15"/>
      <c r="D49" s="15"/>
      <c r="E49" s="16" t="str">
        <f xml:space="preserve"> IF(D49="","",D49 * _xlfn.XLOOKUP(C49, Filament!H:H, Filament!J:J))</f>
        <v/>
      </c>
      <c r="F49" s="17"/>
      <c r="G49" s="18"/>
      <c r="H49" s="19"/>
      <c r="I49" s="20"/>
      <c r="J49" s="21"/>
    </row>
    <row r="50" spans="1:10" ht="20" customHeight="1" x14ac:dyDescent="0.35">
      <c r="A50" s="14"/>
      <c r="B50" s="15"/>
      <c r="C50" s="15"/>
      <c r="D50" s="15"/>
      <c r="E50" s="16" t="str">
        <f xml:space="preserve"> IF(D50="","",D50 * _xlfn.XLOOKUP(C50, Filament!H:H, Filament!J:J))</f>
        <v/>
      </c>
      <c r="F50" s="17"/>
      <c r="G50" s="18"/>
      <c r="H50" s="19"/>
      <c r="I50" s="20"/>
      <c r="J50" s="21"/>
    </row>
    <row r="51" spans="1:10" ht="20" customHeight="1" x14ac:dyDescent="0.35">
      <c r="A51" s="14"/>
      <c r="B51" s="15"/>
      <c r="C51" s="15"/>
      <c r="D51" s="15"/>
      <c r="E51" s="16" t="str">
        <f xml:space="preserve"> IF(D51="","",D51 * _xlfn.XLOOKUP(C51, Filament!H:H, Filament!J:J))</f>
        <v/>
      </c>
      <c r="F51" s="17"/>
      <c r="G51" s="18"/>
      <c r="H51" s="19"/>
      <c r="I51" s="20"/>
      <c r="J51" s="21"/>
    </row>
    <row r="52" spans="1:10" ht="20" customHeight="1" x14ac:dyDescent="0.35">
      <c r="A52" s="14"/>
      <c r="B52" s="15"/>
      <c r="C52" s="15"/>
      <c r="D52" s="15"/>
      <c r="E52" s="16" t="str">
        <f xml:space="preserve"> IF(D52="","",D52 * _xlfn.XLOOKUP(C52, Filament!H:H, Filament!J:J))</f>
        <v/>
      </c>
      <c r="F52" s="17"/>
      <c r="G52" s="18"/>
      <c r="H52" s="19"/>
      <c r="I52" s="20"/>
      <c r="J52" s="21"/>
    </row>
    <row r="53" spans="1:10" ht="20" customHeight="1" x14ac:dyDescent="0.35">
      <c r="A53" s="14"/>
      <c r="B53" s="15"/>
      <c r="C53" s="15"/>
      <c r="D53" s="15"/>
      <c r="E53" s="16" t="str">
        <f xml:space="preserve"> IF(D53="","",D53 * _xlfn.XLOOKUP(C53, Filament!H:H, Filament!J:J))</f>
        <v/>
      </c>
      <c r="F53" s="17"/>
      <c r="G53" s="18"/>
      <c r="H53" s="19"/>
      <c r="I53" s="20"/>
      <c r="J53" s="21"/>
    </row>
    <row r="54" spans="1:10" ht="20" customHeight="1" x14ac:dyDescent="0.35">
      <c r="A54" s="14"/>
      <c r="B54" s="15"/>
      <c r="C54" s="15"/>
      <c r="D54" s="15"/>
      <c r="E54" s="16" t="str">
        <f xml:space="preserve"> IF(D54="","",D54 * _xlfn.XLOOKUP(C54, Filament!H:H, Filament!J:J))</f>
        <v/>
      </c>
      <c r="F54" s="17"/>
      <c r="G54" s="18"/>
      <c r="H54" s="19"/>
      <c r="I54" s="20"/>
      <c r="J54" s="21"/>
    </row>
  </sheetData>
  <mergeCells count="2">
    <mergeCell ref="A2:J2"/>
    <mergeCell ref="A1:J1"/>
  </mergeCells>
  <dataValidations count="1">
    <dataValidation type="decimal" operator="greaterThanOrEqual" showErrorMessage="1" errorTitle="Invalid" error="Must be 0 or greater." sqref="I4:I54 E4:F54" xr:uid="{00000000-0002-0000-0200-000000000000}">
      <formula1>0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F315C2-9A4D-498F-8443-9FE04ED03E43}">
          <x14:formula1>
            <xm:f>Filament!$H$4:$H$86</xm:f>
          </x14:formula1>
          <xm:sqref>C4:C54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4A6B"/>
  </sheetPr>
  <dimension ref="A1:M50"/>
  <sheetViews>
    <sheetView zoomScale="80" zoomScaleNormal="80" workbookViewId="0">
      <pane ySplit="3" topLeftCell="A20" activePane="bottomLeft" state="frozen"/>
      <selection pane="bottomLeft" activeCell="H36" sqref="H36"/>
    </sheetView>
  </sheetViews>
  <sheetFormatPr defaultRowHeight="14.5" x14ac:dyDescent="0.35"/>
  <cols>
    <col min="1" max="1" width="29.54296875" customWidth="1"/>
    <col min="2" max="2" width="13" customWidth="1"/>
    <col min="3" max="3" width="12" customWidth="1"/>
    <col min="4" max="6" width="13" customWidth="1"/>
    <col min="7" max="7" width="11" customWidth="1"/>
    <col min="8" max="9" width="15" customWidth="1"/>
    <col min="10" max="10" width="13" customWidth="1"/>
    <col min="11" max="11" width="18" customWidth="1"/>
    <col min="12" max="13" width="20" customWidth="1"/>
  </cols>
  <sheetData>
    <row r="1" spans="1:13" ht="28" customHeight="1" x14ac:dyDescent="0.35">
      <c r="A1" s="89" t="s">
        <v>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8" customHeight="1" x14ac:dyDescent="0.35">
      <c r="A2" s="87" t="s">
        <v>69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36" customHeight="1" x14ac:dyDescent="0.35">
      <c r="A3" s="1" t="s">
        <v>61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0" t="s">
        <v>79</v>
      </c>
      <c r="L3" s="10" t="s">
        <v>80</v>
      </c>
      <c r="M3" s="10" t="s">
        <v>81</v>
      </c>
    </row>
    <row r="4" spans="1:13" ht="20" customHeight="1" x14ac:dyDescent="0.35">
      <c r="A4" s="22" t="str">
        <f>IF(Products!A4="","",Products!A4)</f>
        <v>3D Star Fish</v>
      </c>
      <c r="B4" s="23">
        <f>IF(Products!A4="","",Products!E4)</f>
        <v>0.201345</v>
      </c>
      <c r="C4" s="24">
        <f>IF(Products!A4="","",Products!F4)</f>
        <v>8.3333333333333329E-2</v>
      </c>
      <c r="D4" s="25">
        <f>IF(Products!A4="","",IF(Products!G4&lt;&gt;"",Products!G4,Inputs!$B$5))</f>
        <v>30</v>
      </c>
      <c r="E4" s="25">
        <f>IF(Products!A4="","",D4*C4)</f>
        <v>2.5</v>
      </c>
      <c r="F4" s="25">
        <f>IF(Products!A4="","",E4+B4+(Inputs!$B$13/4.33/Inputs!$B$10)*C4)</f>
        <v>2.944166401077752</v>
      </c>
      <c r="G4" s="26">
        <f>IF(Products!A4="","",IF(Products!H4&lt;&gt;"",Products!H4,Inputs!$B$8))</f>
        <v>1.7</v>
      </c>
      <c r="H4" s="27">
        <f>IF(Products!A4="","",F4*G4)</f>
        <v>5.0050828818321786</v>
      </c>
      <c r="I4" s="25">
        <f>IF(Products!A4="","",H4-F4)</f>
        <v>2.0609164807544267</v>
      </c>
      <c r="J4" s="28">
        <f>IF(OR(Products!A4="",H4=0),"",I4/H4)</f>
        <v>0.41176470588235298</v>
      </c>
      <c r="K4" s="3">
        <v>5</v>
      </c>
      <c r="L4" s="29">
        <f>IF(OR(Products!A4="",K4="",C4=0),"← enter market price",(K4-B4-(Inputs!$B$13/4.33/Inputs!$B$10)*C4)/C4)</f>
        <v>54.670003187066982</v>
      </c>
      <c r="M4" s="12" t="str">
        <f>IF(OR(Products!A4="",K4=""),"—",IF(L4&gt;=(D4*(1-Inputs!$B$16)),"✅ Viable","⚠️ Below wage target"))</f>
        <v>✅ Viable</v>
      </c>
    </row>
    <row r="5" spans="1:13" ht="20" customHeight="1" x14ac:dyDescent="0.35">
      <c r="A5" s="22" t="str">
        <f>IF(Products!A5="","",Products!A5)</f>
        <v>3D Star Fish - Fancy</v>
      </c>
      <c r="B5" s="23">
        <f>IF(Products!A5="","",Products!E5)</f>
        <v>0.38734499999999999</v>
      </c>
      <c r="C5" s="24">
        <f>IF(Products!A5="","",Products!F5)</f>
        <v>8.3333333333333329E-2</v>
      </c>
      <c r="D5" s="25">
        <f>IF(Products!A5="","",IF(Products!G5&lt;&gt;"",Products!G5,Inputs!$B$5))</f>
        <v>30</v>
      </c>
      <c r="E5" s="25">
        <f>IF(Products!A5="","",D5*C5)</f>
        <v>2.5</v>
      </c>
      <c r="F5" s="25">
        <f>IF(Products!A5="","",E5+B5+(Inputs!$B$13/4.33/Inputs!$B$10)*C5)</f>
        <v>3.1301664010777519</v>
      </c>
      <c r="G5" s="26">
        <f>IF(Products!A5="","",IF(Products!H5&lt;&gt;"",Products!H5,Inputs!$B$8))</f>
        <v>1.7</v>
      </c>
      <c r="H5" s="27">
        <f>IF(Products!A5="","",F5*G5)</f>
        <v>5.321282881832178</v>
      </c>
      <c r="I5" s="25">
        <f>IF(Products!A5="","",H5-F5)</f>
        <v>2.1911164807544261</v>
      </c>
      <c r="J5" s="28">
        <f>IF(OR(Products!A5="",H5=0),"",I5/H5)</f>
        <v>0.41176470588235292</v>
      </c>
      <c r="K5" s="3">
        <v>6</v>
      </c>
      <c r="L5" s="29">
        <f>IF(OR(Products!A5="",K5="",C5=0),"← enter market price",(K5-B5-(Inputs!$B$13/4.33/Inputs!$B$10)*C5)/C5)</f>
        <v>64.438003187066982</v>
      </c>
      <c r="M5" s="12" t="str">
        <f>IF(OR(Products!A5="",K5=""),"—",IF(L5&gt;=(D5*(1-Inputs!$B$16)),"✅ Viable","⚠️ Below wage target"))</f>
        <v>✅ Viable</v>
      </c>
    </row>
    <row r="6" spans="1:13" ht="20" customHeight="1" x14ac:dyDescent="0.35">
      <c r="A6" s="22" t="str">
        <f>IF(Products!A6="","",Products!A6)</f>
        <v>3D Star Fish - Epic</v>
      </c>
      <c r="B6" s="23">
        <f>IF(Products!A6="","",Products!E6)</f>
        <v>0.69734499999999999</v>
      </c>
      <c r="C6" s="24">
        <f>IF(Products!A6="","",Products!F6)</f>
        <v>8.3333333333333329E-2</v>
      </c>
      <c r="D6" s="25">
        <f>IF(Products!A6="","",IF(Products!G6&lt;&gt;"",Products!G6,Inputs!$B$5))</f>
        <v>30</v>
      </c>
      <c r="E6" s="25">
        <f>IF(Products!A6="","",D6*C6)</f>
        <v>2.5</v>
      </c>
      <c r="F6" s="25">
        <f>IF(Products!A6="","",E6+B6+(Inputs!$B$13/4.33/Inputs!$B$10)*C6)</f>
        <v>3.440166401077752</v>
      </c>
      <c r="G6" s="26">
        <f>IF(Products!A6="","",IF(Products!H6&lt;&gt;"",Products!H6,Inputs!$B$8))</f>
        <v>1.7</v>
      </c>
      <c r="H6" s="27">
        <f>IF(Products!A6="","",F6*G6)</f>
        <v>5.8482828818321781</v>
      </c>
      <c r="I6" s="25">
        <f>IF(Products!A6="","",H6-F6)</f>
        <v>2.4081164807544262</v>
      </c>
      <c r="J6" s="28">
        <f>IF(OR(Products!A6="",H6=0),"",I6/H6)</f>
        <v>0.41176470588235292</v>
      </c>
      <c r="K6" s="3">
        <v>9</v>
      </c>
      <c r="L6" s="29">
        <f>IF(OR(Products!A6="",K6="",C6=0),"← enter market price",(K6-B6-(Inputs!$B$13/4.33/Inputs!$B$10)*C6)/C6)</f>
        <v>96.718003187066984</v>
      </c>
      <c r="M6" s="12" t="str">
        <f>IF(OR(Products!A6="",K6=""),"—",IF(L6&gt;=(D6*(1-Inputs!$B$16)),"✅ Viable","⚠️ Below wage target"))</f>
        <v>✅ Viable</v>
      </c>
    </row>
    <row r="7" spans="1:13" ht="20" customHeight="1" x14ac:dyDescent="0.35">
      <c r="A7" s="22" t="str">
        <f>IF(Products!A7="","",Products!A7)</f>
        <v>3D Star Fish - Hand Painted</v>
      </c>
      <c r="B7" s="23">
        <f>IF(Products!A7="","",Products!E7)</f>
        <v>0.201345</v>
      </c>
      <c r="C7" s="24">
        <f>IF(Products!A7="","",Products!F7)</f>
        <v>1</v>
      </c>
      <c r="D7" s="25">
        <f>IF(Products!A7="","",IF(Products!G7&lt;&gt;"",Products!G7,Inputs!$B$5))</f>
        <v>30</v>
      </c>
      <c r="E7" s="25">
        <f>IF(Products!A7="","",D7*C7)</f>
        <v>30</v>
      </c>
      <c r="F7" s="25">
        <f>IF(Products!A7="","",E7+B7+(Inputs!$B$13/4.33/Inputs!$B$10)*C7)</f>
        <v>33.115201812933023</v>
      </c>
      <c r="G7" s="26">
        <f>IF(Products!A7="","",IF(Products!H7&lt;&gt;"",Products!H7,Inputs!$B$8))</f>
        <v>1.7</v>
      </c>
      <c r="H7" s="27">
        <f>IF(Products!A7="","",F7*G7)</f>
        <v>56.295843081986135</v>
      </c>
      <c r="I7" s="25">
        <f>IF(Products!A7="","",H7-F7)</f>
        <v>23.180641269053112</v>
      </c>
      <c r="J7" s="28">
        <f>IF(OR(Products!A7="",H7=0),"",I7/H7)</f>
        <v>0.41176470588235292</v>
      </c>
      <c r="K7" s="3">
        <v>20</v>
      </c>
      <c r="L7" s="29">
        <f>IF(OR(Products!A7="",K7="",C7=0),"← enter market price",(K7-B7-(Inputs!$B$13/4.33/Inputs!$B$10)*C7)/C7)</f>
        <v>16.884798187066977</v>
      </c>
      <c r="M7" s="12" t="str">
        <f>IF(OR(Products!A7="",K7=""),"—",IF(L7&gt;=(D7*(1-Inputs!$B$16)),"✅ Viable","⚠️ Below wage target"))</f>
        <v>⚠️ Below wage target</v>
      </c>
    </row>
    <row r="8" spans="1:13" ht="20" customHeight="1" x14ac:dyDescent="0.35">
      <c r="A8" s="22" t="str">
        <f>IF(Products!A8="","",Products!A8)</f>
        <v>3D Shell Purse 1</v>
      </c>
      <c r="B8" s="23">
        <f>IF(Products!A8="","",Products!E8)</f>
        <v>0.388401</v>
      </c>
      <c r="C8" s="24">
        <f>IF(Products!A8="","",Products!F8)</f>
        <v>0.75</v>
      </c>
      <c r="D8" s="25">
        <f>IF(Products!A8="","",IF(Products!G8&lt;&gt;"",Products!G8,Inputs!$B$5))</f>
        <v>30</v>
      </c>
      <c r="E8" s="25">
        <f>IF(Products!A8="","",D8*C8)</f>
        <v>22.5</v>
      </c>
      <c r="F8" s="25">
        <f>IF(Products!A8="","",E8+B8+(Inputs!$B$13/4.33/Inputs!$B$10)*C8)</f>
        <v>25.07379360969977</v>
      </c>
      <c r="G8" s="26">
        <f>IF(Products!A8="","",IF(Products!H8&lt;&gt;"",Products!H8,Inputs!$B$8))</f>
        <v>1.7</v>
      </c>
      <c r="H8" s="27">
        <f>IF(Products!A8="","",F8*G8)</f>
        <v>42.625449136489607</v>
      </c>
      <c r="I8" s="25">
        <f>IF(Products!A8="","",H8-F8)</f>
        <v>17.551655526789837</v>
      </c>
      <c r="J8" s="28">
        <f>IF(OR(Products!A8="",H8=0),"",I8/H8)</f>
        <v>0.41176470588235292</v>
      </c>
      <c r="K8" s="3">
        <v>45</v>
      </c>
      <c r="L8" s="29">
        <f>IF(OR(Products!A8="",K8="",C8=0),"← enter market price",(K8-B8-(Inputs!$B$13/4.33/Inputs!$B$10)*C8)/C8)</f>
        <v>56.568275187066973</v>
      </c>
      <c r="M8" s="12" t="str">
        <f>IF(OR(Products!A8="",K8=""),"—",IF(L8&gt;=(D8*(1-Inputs!$B$16)),"✅ Viable","⚠️ Below wage target"))</f>
        <v>✅ Viable</v>
      </c>
    </row>
    <row r="9" spans="1:13" ht="20" customHeight="1" x14ac:dyDescent="0.35">
      <c r="A9" s="22" t="str">
        <f>IF(Products!A9="","",Products!A9)</f>
        <v>3D Shell Purse 1 - Fancy</v>
      </c>
      <c r="B9" s="23">
        <f>IF(Products!A9="","",Products!E9)</f>
        <v>0.74720099999999989</v>
      </c>
      <c r="C9" s="24">
        <f>IF(Products!A9="","",Products!F9)</f>
        <v>0.75</v>
      </c>
      <c r="D9" s="25">
        <f>IF(Products!A9="","",IF(Products!G9&lt;&gt;"",Products!G9,Inputs!$B$5))</f>
        <v>30</v>
      </c>
      <c r="E9" s="25">
        <f>IF(Products!A9="","",D9*C9)</f>
        <v>22.5</v>
      </c>
      <c r="F9" s="25">
        <f>IF(Products!A9="","",E9+B9+(Inputs!$B$13/4.33/Inputs!$B$10)*C9)</f>
        <v>25.432593609699769</v>
      </c>
      <c r="G9" s="26">
        <f>IF(Products!A9="","",IF(Products!H9&lt;&gt;"",Products!H9,Inputs!$B$8))</f>
        <v>1.7</v>
      </c>
      <c r="H9" s="27">
        <f>IF(Products!A9="","",F9*G9)</f>
        <v>43.235409136489608</v>
      </c>
      <c r="I9" s="25">
        <f>IF(Products!A9="","",H9-F9)</f>
        <v>17.802815526789839</v>
      </c>
      <c r="J9" s="28">
        <f>IF(OR(Products!A9="",H9=0),"",I9/H9)</f>
        <v>0.41176470588235298</v>
      </c>
      <c r="K9" s="3">
        <v>50</v>
      </c>
      <c r="L9" s="29">
        <f>IF(OR(Products!A9="",K9="",C9=0),"← enter market price",(K9-B9-(Inputs!$B$13/4.33/Inputs!$B$10)*C9)/C9)</f>
        <v>62.756541853733644</v>
      </c>
      <c r="M9" s="12" t="str">
        <f>IF(OR(Products!A9="",K9=""),"—",IF(L9&gt;=(D9*(1-Inputs!$B$16)),"✅ Viable","⚠️ Below wage target"))</f>
        <v>✅ Viable</v>
      </c>
    </row>
    <row r="10" spans="1:13" ht="20" customHeight="1" x14ac:dyDescent="0.35">
      <c r="A10" s="22" t="str">
        <f>IF(Products!A10="","",Products!A10)</f>
        <v>3D Shell Purse 1 - Hand Painted</v>
      </c>
      <c r="B10" s="23">
        <f>IF(Products!A10="","",Products!E10)</f>
        <v>0.388401</v>
      </c>
      <c r="C10" s="24">
        <f>IF(Products!A10="","",Products!F10)</f>
        <v>6</v>
      </c>
      <c r="D10" s="25">
        <f>IF(Products!A10="","",IF(Products!G10&lt;&gt;"",Products!G10,Inputs!$B$5))</f>
        <v>30</v>
      </c>
      <c r="E10" s="25">
        <f>IF(Products!A10="","",D10*C10)</f>
        <v>180</v>
      </c>
      <c r="F10" s="25">
        <f>IF(Products!A10="","",E10+B10+(Inputs!$B$13/4.33/Inputs!$B$10)*C10)</f>
        <v>197.87154187759813</v>
      </c>
      <c r="G10" s="26">
        <f>IF(Products!A10="","",IF(Products!H10&lt;&gt;"",Products!H10,Inputs!$B$8))</f>
        <v>1.7</v>
      </c>
      <c r="H10" s="27">
        <f>IF(Products!A10="","",F10*G10)</f>
        <v>336.38162119191679</v>
      </c>
      <c r="I10" s="25">
        <f>IF(Products!A10="","",H10-F10)</f>
        <v>138.51007931431866</v>
      </c>
      <c r="J10" s="28">
        <f>IF(OR(Products!A10="",H10=0),"",I10/H10)</f>
        <v>0.41176470588235287</v>
      </c>
      <c r="K10" s="3">
        <v>350</v>
      </c>
      <c r="L10" s="29">
        <f>IF(OR(Products!A10="",K10="",C10=0),"← enter market price",(K10-B10-(Inputs!$B$13/4.33/Inputs!$B$10)*C10)/C10)</f>
        <v>55.354743020400313</v>
      </c>
      <c r="M10" s="12" t="str">
        <f>IF(OR(Products!A10="",K10=""),"—",IF(L10&gt;=(D10*(1-Inputs!$B$16)),"✅ Viable","⚠️ Below wage target"))</f>
        <v>✅ Viable</v>
      </c>
    </row>
    <row r="11" spans="1:13" ht="20" customHeight="1" x14ac:dyDescent="0.35">
      <c r="A11" s="22" t="str">
        <f>IF(Products!A11="","",Products!A11)</f>
        <v>3D Shell Mug 1</v>
      </c>
      <c r="B11" s="23">
        <f>IF(Products!A11="","",Products!E11)</f>
        <v>0.201345</v>
      </c>
      <c r="C11" s="24">
        <f>IF(Products!A11="","",Products!F11)</f>
        <v>0.25</v>
      </c>
      <c r="D11" s="25">
        <f>IF(Products!A11="","",IF(Products!G11&lt;&gt;"",Products!G11,Inputs!$B$5))</f>
        <v>30</v>
      </c>
      <c r="E11" s="25">
        <f>IF(Products!A11="","",D11*C11)</f>
        <v>7.5</v>
      </c>
      <c r="F11" s="25">
        <f>IF(Products!A11="","",E11+B11+(Inputs!$B$13/4.33/Inputs!$B$10)*C11)</f>
        <v>8.4298092032332566</v>
      </c>
      <c r="G11" s="26">
        <f>IF(Products!A11="","",IF(Products!H11&lt;&gt;"",Products!H11,Inputs!$B$8))</f>
        <v>1.7</v>
      </c>
      <c r="H11" s="27">
        <f>IF(Products!A11="","",F11*G11)</f>
        <v>14.330675645496536</v>
      </c>
      <c r="I11" s="25">
        <f>IF(Products!A11="","",H11-F11)</f>
        <v>5.9008664422632791</v>
      </c>
      <c r="J11" s="28">
        <f>IF(OR(Products!A11="",H11=0),"",I11/H11)</f>
        <v>0.41176470588235292</v>
      </c>
      <c r="K11" s="3">
        <v>10</v>
      </c>
      <c r="L11" s="29">
        <f>IF(OR(Products!A11="",K11="",C11=0),"← enter market price",(K11-B11-(Inputs!$B$13/4.33/Inputs!$B$10)*C11)/C11)</f>
        <v>36.280763187066974</v>
      </c>
      <c r="M11" s="12" t="str">
        <f>IF(OR(Products!A11="",K11=""),"—",IF(L11&gt;=(D11*(1-Inputs!$B$16)),"✅ Viable","⚠️ Below wage target"))</f>
        <v>✅ Viable</v>
      </c>
    </row>
    <row r="12" spans="1:13" ht="20" customHeight="1" x14ac:dyDescent="0.35">
      <c r="A12" s="22" t="str">
        <f>IF(Products!A12="","",Products!A12)</f>
        <v>3D Shell Mug 1 - Fancy</v>
      </c>
      <c r="B12" s="23">
        <f>IF(Products!A12="","",Products!E12)</f>
        <v>0.38734499999999999</v>
      </c>
      <c r="C12" s="24">
        <f>IF(Products!A12="","",Products!F12)</f>
        <v>0.25</v>
      </c>
      <c r="D12" s="25">
        <f>IF(Products!A12="","",IF(Products!G12&lt;&gt;"",Products!G12,Inputs!$B$5))</f>
        <v>30</v>
      </c>
      <c r="E12" s="25">
        <f>IF(Products!A12="","",D12*C12)</f>
        <v>7.5</v>
      </c>
      <c r="F12" s="25">
        <f>IF(Products!A12="","",E12+B12+(Inputs!$B$13/4.33/Inputs!$B$10)*C12)</f>
        <v>8.6158092032332565</v>
      </c>
      <c r="G12" s="26">
        <f>IF(Products!A12="","",IF(Products!H12&lt;&gt;"",Products!H12,Inputs!$B$8))</f>
        <v>1.7</v>
      </c>
      <c r="H12" s="27">
        <f>IF(Products!A12="","",F12*G12)</f>
        <v>14.646875645496536</v>
      </c>
      <c r="I12" s="25">
        <f>IF(Products!A12="","",H12-F12)</f>
        <v>6.0310664422632794</v>
      </c>
      <c r="J12" s="28">
        <f>IF(OR(Products!A12="",H12=0),"",I12/H12)</f>
        <v>0.41176470588235292</v>
      </c>
      <c r="K12" s="3">
        <v>15</v>
      </c>
      <c r="L12" s="29">
        <f>IF(OR(Products!A12="",K12="",C12=0),"← enter market price",(K12-B12-(Inputs!$B$13/4.33/Inputs!$B$10)*C12)/C12)</f>
        <v>55.536763187066974</v>
      </c>
      <c r="M12" s="12" t="str">
        <f>IF(OR(Products!A12="",K12=""),"—",IF(L12&gt;=(D12*(1-Inputs!$B$16)),"✅ Viable","⚠️ Below wage target"))</f>
        <v>✅ Viable</v>
      </c>
    </row>
    <row r="13" spans="1:13" ht="20" customHeight="1" x14ac:dyDescent="0.35">
      <c r="A13" s="22" t="str">
        <f>IF(Products!A13="","",Products!A13)</f>
        <v>3D Flexi Nautilus</v>
      </c>
      <c r="B13" s="23">
        <f>IF(Products!A13="","",Products!E13)</f>
        <v>0.37826880000000002</v>
      </c>
      <c r="C13" s="24">
        <f>IF(Products!A13="","",Products!F13)</f>
        <v>0.16666666666666666</v>
      </c>
      <c r="D13" s="25">
        <f>IF(Products!A13="","",IF(Products!G13&lt;&gt;"",Products!G13,Inputs!$B$5))</f>
        <v>30</v>
      </c>
      <c r="E13" s="25">
        <f>IF(Products!A13="","",D13*C13)</f>
        <v>5</v>
      </c>
      <c r="F13" s="25">
        <f>IF(Products!A13="","",E13+B13+(Inputs!$B$13/4.33/Inputs!$B$10)*C13)</f>
        <v>5.863911602155504</v>
      </c>
      <c r="G13" s="26">
        <f>IF(Products!A13="","",IF(Products!H13&lt;&gt;"",Products!H13,Inputs!$B$8))</f>
        <v>1.7</v>
      </c>
      <c r="H13" s="27">
        <f>IF(Products!A13="","",F13*G13)</f>
        <v>9.9686497236643561</v>
      </c>
      <c r="I13" s="25">
        <f>IF(Products!A13="","",H13-F13)</f>
        <v>4.1047381215088521</v>
      </c>
      <c r="J13" s="28">
        <f>IF(OR(Products!A13="",H13=0),"",I13/H13)</f>
        <v>0.41176470588235292</v>
      </c>
      <c r="K13" s="3">
        <v>10</v>
      </c>
      <c r="L13" s="29">
        <f>IF(OR(Products!A13="",K13="",C13=0),"← enter market price",(K13-B13-(Inputs!$B$13/4.33/Inputs!$B$10)*C13)/C13)</f>
        <v>54.816530387066976</v>
      </c>
      <c r="M13" s="12" t="str">
        <f>IF(OR(Products!A13="",K13=""),"—",IF(L13&gt;=(D13*(1-Inputs!$B$16)),"✅ Viable","⚠️ Below wage target"))</f>
        <v>✅ Viable</v>
      </c>
    </row>
    <row r="14" spans="1:13" ht="20" customHeight="1" x14ac:dyDescent="0.35">
      <c r="A14" s="22" t="str">
        <f>IF(Products!A14="","",Products!A14)</f>
        <v>3D Flexi Nautilus - Fancy</v>
      </c>
      <c r="B14" s="23">
        <f>IF(Products!A14="","",Products!E14)</f>
        <v>0.72770879999999993</v>
      </c>
      <c r="C14" s="24">
        <f>IF(Products!A14="","",Products!F14)</f>
        <v>0.16666666666666666</v>
      </c>
      <c r="D14" s="25">
        <f>IF(Products!A14="","",IF(Products!G14&lt;&gt;"",Products!G14,Inputs!$B$5))</f>
        <v>30</v>
      </c>
      <c r="E14" s="25">
        <f>IF(Products!A14="","",D14*C14)</f>
        <v>5</v>
      </c>
      <c r="F14" s="25">
        <f>IF(Products!A14="","",E14+B14+(Inputs!$B$13/4.33/Inputs!$B$10)*C14)</f>
        <v>6.2133516021555044</v>
      </c>
      <c r="G14" s="26">
        <f>IF(Products!A14="","",IF(Products!H14&lt;&gt;"",Products!H14,Inputs!$B$8))</f>
        <v>1.7</v>
      </c>
      <c r="H14" s="27">
        <f>IF(Products!A14="","",F14*G14)</f>
        <v>10.562697723664357</v>
      </c>
      <c r="I14" s="25">
        <f>IF(Products!A14="","",H14-F14)</f>
        <v>4.3493461215088525</v>
      </c>
      <c r="J14" s="28">
        <f>IF(OR(Products!A14="",H14=0),"",I14/H14)</f>
        <v>0.41176470588235292</v>
      </c>
      <c r="K14" s="3">
        <v>12.5</v>
      </c>
      <c r="L14" s="29">
        <f>IF(OR(Products!A14="",K14="",C14=0),"← enter market price",(K14-B14-(Inputs!$B$13/4.33/Inputs!$B$10)*C14)/C14)</f>
        <v>67.719890387066968</v>
      </c>
      <c r="M14" s="12" t="str">
        <f>IF(OR(Products!A14="",K14=""),"—",IF(L14&gt;=(D14*(1-Inputs!$B$16)),"✅ Viable","⚠️ Below wage target"))</f>
        <v>✅ Viable</v>
      </c>
    </row>
    <row r="15" spans="1:13" ht="20" customHeight="1" x14ac:dyDescent="0.35">
      <c r="A15" s="22" t="str">
        <f>IF(Products!A15="","",Products!A15)</f>
        <v>3D Credit Wand</v>
      </c>
      <c r="B15" s="23">
        <f>IF(Products!A15="","",Products!E15)</f>
        <v>2.37717</v>
      </c>
      <c r="C15" s="24">
        <f>IF(Products!A15="","",Products!F15)</f>
        <v>0.16666666666666666</v>
      </c>
      <c r="D15" s="25">
        <f>IF(Products!A15="","",IF(Products!G15&lt;&gt;"",Products!G15,Inputs!$B$5))</f>
        <v>30</v>
      </c>
      <c r="E15" s="25">
        <f>IF(Products!A15="","",D15*C15)</f>
        <v>5</v>
      </c>
      <c r="F15" s="25">
        <f>IF(Products!A15="","",E15+B15+(Inputs!$B$13/4.33/Inputs!$B$10)*C15)</f>
        <v>7.8628128021555037</v>
      </c>
      <c r="G15" s="26">
        <f>IF(Products!A15="","",IF(Products!H15&lt;&gt;"",Products!H15,Inputs!$B$8))</f>
        <v>1.7</v>
      </c>
      <c r="H15" s="27">
        <f>IF(Products!A15="","",F15*G15)</f>
        <v>13.366781763664356</v>
      </c>
      <c r="I15" s="25">
        <f>IF(Products!A15="","",H15-F15)</f>
        <v>5.5039689615088525</v>
      </c>
      <c r="J15" s="28">
        <f>IF(OR(Products!A15="",H15=0),"",I15/H15)</f>
        <v>0.41176470588235292</v>
      </c>
      <c r="K15" s="3">
        <v>10</v>
      </c>
      <c r="L15" s="29">
        <f>IF(OR(Products!A15="",K15="",C15=0),"← enter market price",(K15-B15-(Inputs!$B$13/4.33/Inputs!$B$10)*C15)/C15)</f>
        <v>42.823123187066983</v>
      </c>
      <c r="M15" s="12" t="str">
        <f>IF(OR(Products!A15="",K15=""),"—",IF(L15&gt;=(D15*(1-Inputs!$B$16)),"✅ Viable","⚠️ Below wage target"))</f>
        <v>✅ Viable</v>
      </c>
    </row>
    <row r="16" spans="1:13" ht="20" customHeight="1" x14ac:dyDescent="0.35">
      <c r="A16" s="22" t="str">
        <f>IF(Products!A16="","",Products!A16)</f>
        <v>3D Credit Wand - Fancy</v>
      </c>
      <c r="B16" s="23">
        <f>IF(Products!A16="","",Products!E16)</f>
        <v>4.5731699999999993</v>
      </c>
      <c r="C16" s="24">
        <f>IF(Products!A16="","",Products!F16)</f>
        <v>8.3333333333333329E-2</v>
      </c>
      <c r="D16" s="25">
        <f>IF(Products!A16="","",IF(Products!G16&lt;&gt;"",Products!G16,Inputs!$B$5))</f>
        <v>30</v>
      </c>
      <c r="E16" s="25">
        <f>IF(Products!A16="","",D16*C16)</f>
        <v>2.5</v>
      </c>
      <c r="F16" s="25">
        <f>IF(Products!A16="","",E16+B16+(Inputs!$B$13/4.33/Inputs!$B$10)*C16)</f>
        <v>7.3159914010777509</v>
      </c>
      <c r="G16" s="26">
        <f>IF(Products!A16="","",IF(Products!H16&lt;&gt;"",Products!H16,Inputs!$B$8))</f>
        <v>1.7</v>
      </c>
      <c r="H16" s="27">
        <f>IF(Products!A16="","",F16*G16)</f>
        <v>12.437185381832176</v>
      </c>
      <c r="I16" s="25">
        <f>IF(Products!A16="","",H16-F16)</f>
        <v>5.1211939807544251</v>
      </c>
      <c r="J16" s="28">
        <f>IF(OR(Products!A16="",H16=0),"",I16/H16)</f>
        <v>0.41176470588235292</v>
      </c>
      <c r="K16" s="3">
        <v>15</v>
      </c>
      <c r="L16" s="29">
        <f>IF(OR(Products!A16="",K16="",C16=0),"← enter market price",(K16-B16-(Inputs!$B$13/4.33/Inputs!$B$10)*C16)/C16)</f>
        <v>122.208103187067</v>
      </c>
      <c r="M16" s="12" t="str">
        <f>IF(OR(Products!A16="",K16=""),"—",IF(L16&gt;=(D16*(1-Inputs!$B$16)),"✅ Viable","⚠️ Below wage target"))</f>
        <v>✅ Viable</v>
      </c>
    </row>
    <row r="17" spans="1:13" ht="20" customHeight="1" x14ac:dyDescent="0.35">
      <c r="A17" s="22" t="str">
        <f>IF(Products!A17="","",Products!A17)</f>
        <v>3D Pencil Coozie</v>
      </c>
      <c r="B17" s="23">
        <f>IF(Products!A17="","",Products!E17)</f>
        <v>1.32498</v>
      </c>
      <c r="C17" s="24">
        <f>IF(Products!A17="","",Products!F17)</f>
        <v>0.16666666666666666</v>
      </c>
      <c r="D17" s="25">
        <f>IF(Products!A17="","",IF(Products!G17&lt;&gt;"",Products!G17,Inputs!$B$5))</f>
        <v>30</v>
      </c>
      <c r="E17" s="25">
        <f>IF(Products!A17="","",D17*C17)</f>
        <v>5</v>
      </c>
      <c r="F17" s="25">
        <f>IF(Products!A17="","",E17+B17+(Inputs!$B$13/4.33/Inputs!$B$10)*C17)</f>
        <v>6.8106228021555042</v>
      </c>
      <c r="G17" s="26">
        <f>IF(Products!A17="","",IF(Products!H17&lt;&gt;"",Products!H17,Inputs!$B$8))</f>
        <v>1.7</v>
      </c>
      <c r="H17" s="27">
        <f>IF(Products!A17="","",F17*G17)</f>
        <v>11.578058763664357</v>
      </c>
      <c r="I17" s="25">
        <f>IF(Products!A17="","",H17-F17)</f>
        <v>4.7674359615088528</v>
      </c>
      <c r="J17" s="28">
        <f>IF(OR(Products!A17="",H17=0),"",I17/H17)</f>
        <v>0.41176470588235292</v>
      </c>
      <c r="K17" s="3">
        <v>12.5</v>
      </c>
      <c r="L17" s="29">
        <f>IF(OR(Products!A17="",K17="",C17=0),"← enter market price",(K17-B17-(Inputs!$B$13/4.33/Inputs!$B$10)*C17)/C17)</f>
        <v>64.136263187066987</v>
      </c>
      <c r="M17" s="12" t="str">
        <f>IF(OR(Products!A17="",K17=""),"—",IF(L17&gt;=(D17*(1-Inputs!$B$16)),"✅ Viable","⚠️ Below wage target"))</f>
        <v>✅ Viable</v>
      </c>
    </row>
    <row r="18" spans="1:13" ht="20" customHeight="1" x14ac:dyDescent="0.35">
      <c r="A18" s="22" t="str">
        <f>IF(Products!A18="","",Products!A18)</f>
        <v>3D Pencil Coozie - Fancy</v>
      </c>
      <c r="B18" s="23">
        <f>IF(Products!A18="","",Products!E18)</f>
        <v>2.5489799999999998</v>
      </c>
      <c r="C18" s="24">
        <f>IF(Products!A18="","",Products!F18)</f>
        <v>0.16666666666666666</v>
      </c>
      <c r="D18" s="25">
        <f>IF(Products!A18="","",IF(Products!G18&lt;&gt;"",Products!G18,Inputs!$B$5))</f>
        <v>30</v>
      </c>
      <c r="E18" s="25">
        <f>IF(Products!A18="","",D18*C18)</f>
        <v>5</v>
      </c>
      <c r="F18" s="25">
        <f>IF(Products!A18="","",E18+B18+(Inputs!$B$13/4.33/Inputs!$B$10)*C18)</f>
        <v>8.0346228021555035</v>
      </c>
      <c r="G18" s="26">
        <f>IF(Products!A18="","",IF(Products!H18&lt;&gt;"",Products!H18,Inputs!$B$8))</f>
        <v>1.7</v>
      </c>
      <c r="H18" s="27">
        <f>IF(Products!A18="","",F18*G18)</f>
        <v>13.658858763664355</v>
      </c>
      <c r="I18" s="25">
        <f>IF(Products!A18="","",H18-F18)</f>
        <v>5.6242359615088517</v>
      </c>
      <c r="J18" s="28">
        <f>IF(OR(Products!A18="",H18=0),"",I18/H18)</f>
        <v>0.41176470588235292</v>
      </c>
      <c r="K18" s="3">
        <v>15</v>
      </c>
      <c r="L18" s="29">
        <f>IF(OR(Products!A18="",K18="",C18=0),"← enter market price",(K18-B18-(Inputs!$B$13/4.33/Inputs!$B$10)*C18)/C18)</f>
        <v>71.792263187066979</v>
      </c>
      <c r="M18" s="12" t="str">
        <f>IF(OR(Products!A18="",K18=""),"—",IF(L18&gt;=(D18*(1-Inputs!$B$16)),"✅ Viable","⚠️ Below wage target"))</f>
        <v>✅ Viable</v>
      </c>
    </row>
    <row r="19" spans="1:13" ht="20" customHeight="1" x14ac:dyDescent="0.35">
      <c r="A19" s="22" t="str">
        <f>IF(Products!A19="","",Products!A19)</f>
        <v>3D Articulated Octo</v>
      </c>
      <c r="B19" s="23">
        <f>IF(Products!A19="","",Products!E19)</f>
        <v>0.57155999999999996</v>
      </c>
      <c r="C19" s="24">
        <f>IF(Products!A19="","",Products!F19)</f>
        <v>1</v>
      </c>
      <c r="D19" s="25">
        <f>IF(Products!A19="","",IF(Products!G19&lt;&gt;"",Products!G19,Inputs!$B$5))</f>
        <v>30</v>
      </c>
      <c r="E19" s="25">
        <f>IF(Products!A19="","",D19*C19)</f>
        <v>30</v>
      </c>
      <c r="F19" s="25">
        <f>IF(Products!A19="","",E19+B19+(Inputs!$B$13/4.33/Inputs!$B$10)*C19)</f>
        <v>33.485416812933025</v>
      </c>
      <c r="G19" s="26">
        <f>IF(Products!A19="","",IF(Products!H19&lt;&gt;"",Products!H19,Inputs!$B$8))</f>
        <v>1.7</v>
      </c>
      <c r="H19" s="27">
        <f>IF(Products!A19="","",F19*G19)</f>
        <v>56.925208581986141</v>
      </c>
      <c r="I19" s="25">
        <f>IF(Products!A19="","",H19-F19)</f>
        <v>23.439791769053116</v>
      </c>
      <c r="J19" s="28">
        <f>IF(OR(Products!A19="",H19=0),"",I19/H19)</f>
        <v>0.41176470588235292</v>
      </c>
      <c r="K19" s="3">
        <v>30</v>
      </c>
      <c r="L19" s="29">
        <f>IF(OR(Products!A19="",K19="",C19=0),"← enter market price",(K19-B19-(Inputs!$B$13/4.33/Inputs!$B$10)*C19)/C19)</f>
        <v>26.514583187066975</v>
      </c>
      <c r="M19" s="12" t="str">
        <f>IF(OR(Products!A19="",K19=""),"—",IF(L19&gt;=(D19*(1-Inputs!$B$16)),"✅ Viable","⚠️ Below wage target"))</f>
        <v>✅ Viable</v>
      </c>
    </row>
    <row r="20" spans="1:13" ht="20" customHeight="1" x14ac:dyDescent="0.35">
      <c r="A20" s="22" t="str">
        <f>IF(Products!A20="","",Products!A20)</f>
        <v xml:space="preserve">3D D&amp;D </v>
      </c>
      <c r="B20" s="23">
        <f>IF(Products!A20="","",Products!E20)</f>
        <v>9.8983799999999995</v>
      </c>
      <c r="C20" s="24">
        <f>IF(Products!A20="","",Products!F20)</f>
        <v>1</v>
      </c>
      <c r="D20" s="25">
        <f>IF(Products!A20="","",IF(Products!G20&lt;&gt;"",Products!G20,Inputs!$B$5))</f>
        <v>30</v>
      </c>
      <c r="E20" s="25">
        <f>IF(Products!A20="","",D20*C20)</f>
        <v>30</v>
      </c>
      <c r="F20" s="25">
        <f>IF(Products!A20="","",E20+B20+(Inputs!$B$13/4.33/Inputs!$B$10)*C20)</f>
        <v>42.81223681293303</v>
      </c>
      <c r="G20" s="26">
        <f>IF(Products!A20="","",IF(Products!H20&lt;&gt;"",Products!H20,Inputs!$B$8))</f>
        <v>1.7</v>
      </c>
      <c r="H20" s="27">
        <f>IF(Products!A20="","",F20*G20)</f>
        <v>72.780802581986151</v>
      </c>
      <c r="I20" s="25">
        <f>IF(Products!A20="","",H20-F20)</f>
        <v>29.968565769053122</v>
      </c>
      <c r="J20" s="28">
        <f>IF(OR(Products!A20="",H20=0),"",I20/H20)</f>
        <v>0.41176470588235292</v>
      </c>
      <c r="K20" s="3">
        <v>75</v>
      </c>
      <c r="L20" s="29">
        <f>IF(OR(Products!A20="",K20="",C20=0),"← enter market price",(K20-B20-(Inputs!$B$13/4.33/Inputs!$B$10)*C20)/C20)</f>
        <v>62.18776318706697</v>
      </c>
      <c r="M20" s="12" t="str">
        <f>IF(OR(Products!A20="",K20=""),"—",IF(L20&gt;=(D20*(1-Inputs!$B$16)),"✅ Viable","⚠️ Below wage target"))</f>
        <v>✅ Viable</v>
      </c>
    </row>
    <row r="21" spans="1:13" ht="20" customHeight="1" x14ac:dyDescent="0.35">
      <c r="A21" s="22" t="str">
        <f>IF(Products!A21="","",Products!A21)</f>
        <v>3D Dad Keychain</v>
      </c>
      <c r="B21" s="23">
        <f>IF(Products!A21="","",Products!E21)</f>
        <v>5.1959999999999999E-2</v>
      </c>
      <c r="C21" s="24">
        <f>IF(Products!A21="","",Products!F21)</f>
        <v>8.3333333333333329E-2</v>
      </c>
      <c r="D21" s="25">
        <f>IF(Products!A21="","",IF(Products!G21&lt;&gt;"",Products!G21,Inputs!$B$5))</f>
        <v>30</v>
      </c>
      <c r="E21" s="25">
        <f>IF(Products!A21="","",D21*C21)</f>
        <v>2.5</v>
      </c>
      <c r="F21" s="25">
        <f>IF(Products!A21="","",E21+B21+(Inputs!$B$13/4.33/Inputs!$B$10)*C21)</f>
        <v>2.7947814010777519</v>
      </c>
      <c r="G21" s="26">
        <f>IF(Products!A21="","",IF(Products!H21&lt;&gt;"",Products!H21,Inputs!$B$8))</f>
        <v>1.7</v>
      </c>
      <c r="H21" s="27">
        <f>IF(Products!A21="","",F21*G21)</f>
        <v>4.7511283818321779</v>
      </c>
      <c r="I21" s="25">
        <f>IF(Products!A21="","",H21-F21)</f>
        <v>1.956346980754426</v>
      </c>
      <c r="J21" s="28">
        <f>IF(OR(Products!A21="",H21=0),"",I21/H21)</f>
        <v>0.41176470588235292</v>
      </c>
      <c r="K21" s="3">
        <v>3</v>
      </c>
      <c r="L21" s="29">
        <f>IF(OR(Products!A21="",K21="",C21=0),"← enter market price",(K21-B21-(Inputs!$B$13/4.33/Inputs!$B$10)*C21)/C21)</f>
        <v>32.462623187066981</v>
      </c>
      <c r="M21" s="12" t="str">
        <f>IF(OR(Products!A21="",K21=""),"—",IF(L21&gt;=(D21*(1-Inputs!$B$16)),"✅ Viable","⚠️ Below wage target"))</f>
        <v>✅ Viable</v>
      </c>
    </row>
    <row r="22" spans="1:13" ht="20" customHeight="1" x14ac:dyDescent="0.35">
      <c r="A22" s="22" t="str">
        <f>IF(Products!A22="","",Products!A22)</f>
        <v>3D Dog Dad Key Chain</v>
      </c>
      <c r="B22" s="23">
        <f>IF(Products!A22="","",Products!E22)</f>
        <v>0.22083</v>
      </c>
      <c r="C22" s="24">
        <f>IF(Products!A22="","",Products!F22)</f>
        <v>8.3333333333333329E-2</v>
      </c>
      <c r="D22" s="25">
        <f>IF(Products!A22="","",IF(Products!G22&lt;&gt;"",Products!G22,Inputs!$B$5))</f>
        <v>30</v>
      </c>
      <c r="E22" s="25">
        <f>IF(Products!A22="","",D22*C22)</f>
        <v>2.5</v>
      </c>
      <c r="F22" s="25">
        <f>IF(Products!A22="","",E22+B22+(Inputs!$B$13/4.33/Inputs!$B$10)*C22)</f>
        <v>2.9636514010777519</v>
      </c>
      <c r="G22" s="26">
        <f>IF(Products!A22="","",IF(Products!H22&lt;&gt;"",Products!H22,Inputs!$B$8))</f>
        <v>1.7</v>
      </c>
      <c r="H22" s="27">
        <f>IF(Products!A22="","",F22*G22)</f>
        <v>5.0382073818321782</v>
      </c>
      <c r="I22" s="25">
        <f>IF(Products!A22="","",H22-F22)</f>
        <v>2.0745559807544263</v>
      </c>
      <c r="J22" s="28">
        <f>IF(OR(Products!A22="",H22=0),"",I22/H22)</f>
        <v>0.41176470588235292</v>
      </c>
      <c r="K22" s="3">
        <v>3</v>
      </c>
      <c r="L22" s="29">
        <f>IF(OR(Products!A22="",K22="",C22=0),"← enter market price",(K22-B22-(Inputs!$B$13/4.33/Inputs!$B$10)*C22)/C22)</f>
        <v>30.436183187066977</v>
      </c>
      <c r="M22" s="12" t="str">
        <f>IF(OR(Products!A22="",K22=""),"—",IF(L22&gt;=(D22*(1-Inputs!$B$16)),"✅ Viable","⚠️ Below wage target"))</f>
        <v>✅ Viable</v>
      </c>
    </row>
    <row r="23" spans="1:13" ht="20" customHeight="1" x14ac:dyDescent="0.35">
      <c r="A23" s="22" t="str">
        <f>IF(Products!A24="","",Products!A24)</f>
        <v>3D Mama w Rose</v>
      </c>
      <c r="B23" s="23">
        <f>IF(Products!A24="","",Products!E24)</f>
        <v>3.8969999999999998E-2</v>
      </c>
      <c r="C23" s="24">
        <f>IF(Products!A24="","",Products!F24)</f>
        <v>8.3333333333333329E-2</v>
      </c>
      <c r="D23" s="25">
        <f>IF(Products!A24="","",IF(Products!G24&lt;&gt;"",Products!G24,Inputs!$B$5))</f>
        <v>30</v>
      </c>
      <c r="E23" s="25">
        <f>IF(Products!A24="","",D23*C23)</f>
        <v>2.5</v>
      </c>
      <c r="F23" s="25">
        <f>IF(Products!A24="","",E23+B23+(Inputs!$B$13/4.33/Inputs!$B$10)*C23)</f>
        <v>2.781791401077752</v>
      </c>
      <c r="G23" s="26">
        <f>IF(Products!A24="","",IF(Products!H24&lt;&gt;"",Products!H24,Inputs!$B$8))</f>
        <v>1.7</v>
      </c>
      <c r="H23" s="27">
        <f>IF(Products!A24="","",F23*G23)</f>
        <v>4.7290453818321785</v>
      </c>
      <c r="I23" s="25">
        <f>IF(Products!A24="","",H23-F23)</f>
        <v>1.9472539807544265</v>
      </c>
      <c r="J23" s="28">
        <f>IF(OR(Products!A24="",H23=0),"",I23/H23)</f>
        <v>0.41176470588235292</v>
      </c>
      <c r="K23" s="3">
        <v>3</v>
      </c>
      <c r="L23" s="29">
        <f>IF(OR(Products!A24="",K23="",C23=0),"← enter market price",(K23-B23-(Inputs!$B$13/4.33/Inputs!$B$10)*C23)/C23)</f>
        <v>32.618503187066977</v>
      </c>
      <c r="M23" s="12" t="str">
        <f>IF(OR(Products!A24="",K23=""),"—",IF(L23&gt;=(D23*(1-Inputs!$B$16)),"✅ Viable","⚠️ Below wage target"))</f>
        <v>✅ Viable</v>
      </c>
    </row>
    <row r="24" spans="1:13" ht="20" customHeight="1" x14ac:dyDescent="0.35">
      <c r="A24" s="22" t="str">
        <f>IF(Products!A25="","",Products!A25)</f>
        <v>3D Canyon Rock</v>
      </c>
      <c r="B24" s="23">
        <f>IF(Products!A25="","",Products!E25)</f>
        <v>2.7868746</v>
      </c>
      <c r="C24" s="24">
        <f>IF(Products!A25="","",Products!F25)</f>
        <v>1</v>
      </c>
      <c r="D24" s="25">
        <f>IF(Products!A25="","",IF(Products!G25&lt;&gt;"",Products!G25,Inputs!$B$5))</f>
        <v>30</v>
      </c>
      <c r="E24" s="25">
        <f>IF(Products!A25="","",D24*C24)</f>
        <v>30</v>
      </c>
      <c r="F24" s="25">
        <f>IF(Products!A25="","",E24+B24+(Inputs!$B$13/4.33/Inputs!$B$10)*C24)</f>
        <v>35.700731412933024</v>
      </c>
      <c r="G24" s="26">
        <f>IF(Products!A25="","",IF(Products!H25&lt;&gt;"",Products!H25,Inputs!$B$8))</f>
        <v>1.7</v>
      </c>
      <c r="H24" s="27">
        <f>IF(Products!A25="","",F24*G24)</f>
        <v>60.691243401986142</v>
      </c>
      <c r="I24" s="25">
        <f>IF(Products!A25="","",H24-F24)</f>
        <v>24.990511989053118</v>
      </c>
      <c r="J24" s="28">
        <f>IF(OR(Products!A25="",H24=0),"",I24/H24)</f>
        <v>0.41176470588235298</v>
      </c>
      <c r="K24" s="3">
        <v>60</v>
      </c>
      <c r="L24" s="29">
        <f>IF(OR(Products!A25="",K24="",C24=0),"← enter market price",(K24-B24-(Inputs!$B$13/4.33/Inputs!$B$10)*C24)/C24)</f>
        <v>54.299268587066976</v>
      </c>
      <c r="M24" s="12" t="str">
        <f>IF(OR(Products!A25="",K24=""),"—",IF(L24&gt;=(D24*(1-Inputs!$B$16)),"✅ Viable","⚠️ Below wage target"))</f>
        <v>✅ Viable</v>
      </c>
    </row>
    <row r="25" spans="1:13" ht="20" customHeight="1" x14ac:dyDescent="0.35">
      <c r="A25" s="22" t="str">
        <f>IF(Products!A26="","",Products!A26)</f>
        <v>3D Shell Soap - Md x 3</v>
      </c>
      <c r="B25" s="23">
        <f>IF(Products!A26="","",Products!E26)</f>
        <v>8.2244571428571422</v>
      </c>
      <c r="C25" s="24">
        <f>IF(Products!A26="","",Products!F26)</f>
        <v>8.3333333333333329E-2</v>
      </c>
      <c r="D25" s="25">
        <f>IF(Products!A26="","",IF(Products!G26&lt;&gt;"",Products!G26,Inputs!$B$5))</f>
        <v>30</v>
      </c>
      <c r="E25" s="25">
        <f>IF(Products!A26="","",D25*C25)</f>
        <v>2.5</v>
      </c>
      <c r="F25" s="25">
        <f>IF(Products!A26="","",E25+B25+(Inputs!$B$13/4.33/Inputs!$B$10)*C25)</f>
        <v>10.967278543934894</v>
      </c>
      <c r="G25" s="26">
        <f>IF(Products!A26="","",IF(Products!H26&lt;&gt;"",Products!H26,Inputs!$B$8))</f>
        <v>1.7</v>
      </c>
      <c r="H25" s="27">
        <f>IF(Products!A26="","",F25*G25)</f>
        <v>18.644373524689318</v>
      </c>
      <c r="I25" s="25">
        <f>IF(Products!A26="","",H25-F25)</f>
        <v>7.6770949807544238</v>
      </c>
      <c r="J25" s="28">
        <f>IF(OR(Products!A26="",H25=0),"",I25/H25)</f>
        <v>0.41176470588235287</v>
      </c>
      <c r="K25" s="3">
        <v>15</v>
      </c>
      <c r="L25" s="29">
        <f>IF(OR(Products!A26="",K25="",C25=0),"← enter market price",(K25-B25-(Inputs!$B$13/4.33/Inputs!$B$10)*C25)/C25)</f>
        <v>78.392657472781281</v>
      </c>
      <c r="M25" s="12" t="str">
        <f>IF(OR(Products!A26="",K25=""),"—",IF(L25&gt;=(D25*(1-Inputs!$B$16)),"✅ Viable","⚠️ Below wage target"))</f>
        <v>✅ Viable</v>
      </c>
    </row>
    <row r="26" spans="1:13" ht="20" customHeight="1" x14ac:dyDescent="0.35">
      <c r="A26" s="22" t="str">
        <f>IF(Products!A27="","",Products!A27)</f>
        <v>3D Shell Soap - X-Sm x 7</v>
      </c>
      <c r="B26" s="23">
        <f>IF(Products!A27="","",Products!E27)</f>
        <v>2.5130285714285714</v>
      </c>
      <c r="C26" s="24">
        <f>IF(Products!A27="","",Products!F27)</f>
        <v>8.3333333333333329E-2</v>
      </c>
      <c r="D26" s="25">
        <f>IF(Products!A27="","",IF(Products!G27&lt;&gt;"",Products!G27,Inputs!$B$5))</f>
        <v>30</v>
      </c>
      <c r="E26" s="25">
        <f>IF(Products!A27="","",D26*C26)</f>
        <v>2.5</v>
      </c>
      <c r="F26" s="25">
        <f>IF(Products!A27="","",E26+B26+(Inputs!$B$13/4.33/Inputs!$B$10)*C26)</f>
        <v>5.2558499725063239</v>
      </c>
      <c r="G26" s="26">
        <f>IF(Products!A27="","",IF(Products!H27&lt;&gt;"",Products!H27,Inputs!$B$8))</f>
        <v>1.7</v>
      </c>
      <c r="H26" s="27">
        <f>IF(Products!A27="","",F26*G26)</f>
        <v>8.9349449532607501</v>
      </c>
      <c r="I26" s="25">
        <f>IF(Products!A27="","",H26-F26)</f>
        <v>3.6790949807544262</v>
      </c>
      <c r="J26" s="28">
        <f>IF(OR(Products!A27="",H26=0),"",I26/H26)</f>
        <v>0.41176470588235292</v>
      </c>
      <c r="K26" s="3">
        <v>10</v>
      </c>
      <c r="L26" s="29">
        <f>IF(OR(Products!A27="",K26="",C26=0),"← enter market price",(K26-B26-(Inputs!$B$13/4.33/Inputs!$B$10)*C26)/C26)</f>
        <v>86.92980032992412</v>
      </c>
      <c r="M26" s="12" t="str">
        <f>IF(OR(Products!A27="",K26=""),"—",IF(L26&gt;=(D26*(1-Inputs!$B$16)),"✅ Viable","⚠️ Below wage target"))</f>
        <v>✅ Viable</v>
      </c>
    </row>
    <row r="27" spans="1:13" ht="20" customHeight="1" x14ac:dyDescent="0.35">
      <c r="A27" s="22" t="str">
        <f>IF(Products!A28="","",Products!A28)</f>
        <v>3D Shell Plant Pot</v>
      </c>
      <c r="B27" s="23">
        <f>IF(Products!A28="","",Products!E28)</f>
        <v>3.1415999999999995</v>
      </c>
      <c r="C27" s="24">
        <f>IF(Products!A28="","",Products!F28)</f>
        <v>8.3333333333333329E-2</v>
      </c>
      <c r="D27" s="25">
        <f>IF(Products!A28="","",IF(Products!G28&lt;&gt;"",Products!G28,Inputs!$B$5))</f>
        <v>30</v>
      </c>
      <c r="E27" s="25">
        <f>IF(Products!A28="","",D27*C27)</f>
        <v>2.5</v>
      </c>
      <c r="F27" s="25">
        <f>IF(Products!A28="","",E27+B27+(Inputs!$B$13/4.33/Inputs!$B$10)*C27)</f>
        <v>5.884421401077752</v>
      </c>
      <c r="G27" s="26">
        <f>IF(Products!A28="","",IF(Products!H28&lt;&gt;"",Products!H28,Inputs!$B$8))</f>
        <v>1.7</v>
      </c>
      <c r="H27" s="27">
        <f>IF(Products!A28="","",F27*G27)</f>
        <v>10.003516381832178</v>
      </c>
      <c r="I27" s="25">
        <f>IF(Products!A28="","",H27-F27)</f>
        <v>4.1190949807544257</v>
      </c>
      <c r="J27" s="28">
        <f>IF(OR(Products!A28="",H27=0),"",I27/H27)</f>
        <v>0.41176470588235292</v>
      </c>
      <c r="K27" s="3">
        <v>10</v>
      </c>
      <c r="L27" s="29">
        <f>IF(OR(Products!A28="",K27="",C27=0),"← enter market price",(K27-B27-(Inputs!$B$13/4.33/Inputs!$B$10)*C27)/C27)</f>
        <v>79.386943187066976</v>
      </c>
      <c r="M27" s="12" t="str">
        <f>IF(OR(Products!A28="",K27=""),"—",IF(L27&gt;=(D27*(1-Inputs!$B$16)),"✅ Viable","⚠️ Below wage target"))</f>
        <v>✅ Viable</v>
      </c>
    </row>
    <row r="28" spans="1:13" ht="20" customHeight="1" x14ac:dyDescent="0.35">
      <c r="A28" s="22" t="str">
        <f>IF(Products!A29="","",Products!A29)</f>
        <v>3D Display Bowl for Soaps</v>
      </c>
      <c r="B28" s="23">
        <f>IF(Products!A29="","",Products!E29)</f>
        <v>1.3769400000000001</v>
      </c>
      <c r="C28" s="24">
        <f>IF(Products!A29="","",Products!F29)</f>
        <v>8.3000000000000004E-2</v>
      </c>
      <c r="D28" s="25">
        <f>IF(Products!A29="","",IF(Products!G29&lt;&gt;"",Products!G29,Inputs!$B$5))</f>
        <v>30</v>
      </c>
      <c r="E28" s="25">
        <f>IF(Products!A29="","",D28*C28)</f>
        <v>2.4900000000000002</v>
      </c>
      <c r="F28" s="25">
        <f>IF(Products!A29="","",E28+B28+(Inputs!$B$13/4.33/Inputs!$B$10)*C28)</f>
        <v>4.1087901154734414</v>
      </c>
      <c r="G28" s="26">
        <f>IF(Products!A29="","",IF(Products!H29&lt;&gt;"",Products!H29,Inputs!$B$8))</f>
        <v>1.7</v>
      </c>
      <c r="H28" s="27">
        <f>IF(Products!A29="","",F28*G28)</f>
        <v>6.9849431963048501</v>
      </c>
      <c r="I28" s="25">
        <f>IF(Products!A29="","",H28-F28)</f>
        <v>2.8761530808314086</v>
      </c>
      <c r="J28" s="28">
        <f>IF(OR(Products!A29="",H28=0),"",I28/H28)</f>
        <v>0.41176470588235292</v>
      </c>
      <c r="K28" s="3">
        <v>5</v>
      </c>
      <c r="L28" s="29">
        <f>IF(OR(Products!A29="",K28="",C28=0),"← enter market price",(K28-B28-(Inputs!$B$13/4.33/Inputs!$B$10)*C28)/C28)</f>
        <v>40.737468488271787</v>
      </c>
      <c r="M28" s="12" t="str">
        <f>IF(OR(Products!A29="",K28=""),"—",IF(L28&gt;=(D28*(1-Inputs!$B$16)),"✅ Viable","⚠️ Below wage target"))</f>
        <v>✅ Viable</v>
      </c>
    </row>
    <row r="29" spans="1:13" ht="20" customHeight="1" x14ac:dyDescent="0.35">
      <c r="A29" s="22" t="str">
        <f>IF(Products!A30="","",Products!A30)</f>
        <v>3D Simple Tree Silloutte Bookends</v>
      </c>
      <c r="B29" s="23">
        <f>IF(Products!A30="","",Products!E30)</f>
        <v>0.45465</v>
      </c>
      <c r="C29" s="24">
        <f>IF(Products!A30="","",Products!F30)</f>
        <v>8.3333333333333329E-2</v>
      </c>
      <c r="D29" s="25">
        <f>IF(Products!A30="","",IF(Products!G30&lt;&gt;"",Products!G30,Inputs!$B$5))</f>
        <v>30</v>
      </c>
      <c r="E29" s="25">
        <f>IF(Products!A30="","",D29*C29)</f>
        <v>2.5</v>
      </c>
      <c r="F29" s="25">
        <f>IF(Products!A30="","",E29+B29+(Inputs!$B$13/4.33/Inputs!$B$10)*C29)</f>
        <v>3.1974714010777521</v>
      </c>
      <c r="G29" s="26">
        <f>IF(Products!A30="","",IF(Products!H30&lt;&gt;"",Products!H30,Inputs!$B$8))</f>
        <v>1.7</v>
      </c>
      <c r="H29" s="27">
        <f>IF(Products!A30="","",F29*G29)</f>
        <v>5.4357013818321782</v>
      </c>
      <c r="I29" s="25">
        <f>IF(Products!A30="","",H29-F29)</f>
        <v>2.2382299807544261</v>
      </c>
      <c r="J29" s="28">
        <f>IF(OR(Products!A30="",H29=0),"",I29/H29)</f>
        <v>0.41176470588235292</v>
      </c>
      <c r="K29" s="3">
        <v>5</v>
      </c>
      <c r="L29" s="29">
        <f>IF(OR(Products!A30="",K29="",C29=0),"← enter market price",(K29-B29-(Inputs!$B$13/4.33/Inputs!$B$10)*C29)/C29)</f>
        <v>51.63034318706697</v>
      </c>
      <c r="M29" s="12" t="str">
        <f>IF(OR(Products!A30="",K29=""),"—",IF(L29&gt;=(D29*(1-Inputs!$B$16)),"✅ Viable","⚠️ Below wage target"))</f>
        <v>✅ Viable</v>
      </c>
    </row>
    <row r="30" spans="1:13" ht="20" customHeight="1" x14ac:dyDescent="0.35">
      <c r="A30" s="22" t="str">
        <f>IF(Products!A31="","",Products!A31)</f>
        <v>3D Egg Yolk Toy</v>
      </c>
      <c r="B30" s="23">
        <f>IF(Products!A31="","",Products!E31)</f>
        <v>0.54557999999999995</v>
      </c>
      <c r="C30" s="24">
        <f>IF(Products!A31="","",Products!F31)</f>
        <v>0.16666666666666666</v>
      </c>
      <c r="D30" s="25">
        <f>IF(Products!A31="","",IF(Products!G31&lt;&gt;"",Products!G31,Inputs!$B$5))</f>
        <v>30</v>
      </c>
      <c r="E30" s="25">
        <f>IF(Products!A31="","",D30*C30)</f>
        <v>5</v>
      </c>
      <c r="F30" s="25">
        <f>IF(Products!A31="","",E30+B30+(Inputs!$B$13/4.33/Inputs!$B$10)*C30)</f>
        <v>6.0312228021555043</v>
      </c>
      <c r="G30" s="26">
        <f>IF(Products!A31="","",IF(Products!H31&lt;&gt;"",Products!H31,Inputs!$B$8))</f>
        <v>1.7</v>
      </c>
      <c r="H30" s="27">
        <f>IF(Products!A31="","",F30*G30)</f>
        <v>10.253078763664357</v>
      </c>
      <c r="I30" s="25">
        <f>IF(Products!A31="","",H30-F30)</f>
        <v>4.2218559615088527</v>
      </c>
      <c r="J30" s="28">
        <f>IF(OR(Products!A31="",H30=0),"",I30/H30)</f>
        <v>0.41176470588235292</v>
      </c>
      <c r="K30" s="3">
        <v>10</v>
      </c>
      <c r="L30" s="29">
        <f>IF(OR(Products!A31="",K30="",C30=0),"← enter market price",(K30-B30-(Inputs!$B$13/4.33/Inputs!$B$10)*C30)/C30)</f>
        <v>53.812663187066974</v>
      </c>
      <c r="M30" s="12" t="str">
        <f>IF(OR(Products!A31="",K30=""),"—",IF(L30&gt;=(D30*(1-Inputs!$B$16)),"✅ Viable","⚠️ Below wage target"))</f>
        <v>✅ Viable</v>
      </c>
    </row>
    <row r="31" spans="1:13" ht="20" customHeight="1" x14ac:dyDescent="0.35">
      <c r="A31" s="22" t="str">
        <f>IF(Products!A32="","",Products!A32)</f>
        <v>3D Cute Dragon Flex</v>
      </c>
      <c r="B31" s="23">
        <f>IF(Products!A32="","",Products!E32)</f>
        <v>0.76641000000000004</v>
      </c>
      <c r="C31" s="24">
        <f>IF(Products!A32="","",Products!F32)</f>
        <v>8.3333333333333329E-2</v>
      </c>
      <c r="D31" s="25">
        <f>IF(Products!A32="","",IF(Products!G32&lt;&gt;"",Products!G32,Inputs!$B$5))</f>
        <v>30</v>
      </c>
      <c r="E31" s="25">
        <f>IF(Products!A32="","",D31*C31)</f>
        <v>2.5</v>
      </c>
      <c r="F31" s="25">
        <f>IF(Products!A32="","",E31+B31+(Inputs!$B$13/4.33/Inputs!$B$10)*C31)</f>
        <v>3.5092314010777521</v>
      </c>
      <c r="G31" s="26">
        <f>IF(Products!A32="","",IF(Products!H32&lt;&gt;"",Products!H32,Inputs!$B$8))</f>
        <v>1.7</v>
      </c>
      <c r="H31" s="27">
        <f>IF(Products!A32="","",F31*G31)</f>
        <v>5.9656933818321782</v>
      </c>
      <c r="I31" s="25">
        <f>IF(Products!A32="","",H31-F31)</f>
        <v>2.4564619807544261</v>
      </c>
      <c r="J31" s="28">
        <f>IF(OR(Products!A32="",H31=0),"",I31/H31)</f>
        <v>0.41176470588235292</v>
      </c>
      <c r="K31" s="3">
        <v>20</v>
      </c>
      <c r="L31" s="29">
        <f>IF(OR(Products!A32="",K31="",C31=0),"← enter market price",(K31-B31-(Inputs!$B$13/4.33/Inputs!$B$10)*C31)/C31)</f>
        <v>227.88922318706699</v>
      </c>
      <c r="M31" s="12" t="str">
        <f>IF(OR(Products!A32="",K31=""),"—",IF(L31&gt;=(D31*(1-Inputs!$B$16)),"✅ Viable","⚠️ Below wage target"))</f>
        <v>✅ Viable</v>
      </c>
    </row>
    <row r="32" spans="1:13" ht="20" customHeight="1" x14ac:dyDescent="0.35">
      <c r="A32" s="22" t="str">
        <f>IF(Products!A33="","",Products!A33)</f>
        <v>3D Horizontal Tripod</v>
      </c>
      <c r="B32" s="23">
        <f>IF(Products!A33="","",Products!E33)</f>
        <v>0.98724000000000001</v>
      </c>
      <c r="C32" s="24">
        <f>IF(Products!A33="","",Products!F33)</f>
        <v>0.16666666666666666</v>
      </c>
      <c r="D32" s="25">
        <f>IF(Products!A33="","",IF(Products!G33&lt;&gt;"",Products!G33,Inputs!$B$5))</f>
        <v>30</v>
      </c>
      <c r="E32" s="25">
        <f>IF(Products!A33="","",D32*C32)</f>
        <v>5</v>
      </c>
      <c r="F32" s="25">
        <f>IF(Products!A33="","",E32+B32+(Inputs!$B$13/4.33/Inputs!$B$10)*C32)</f>
        <v>6.472882802155504</v>
      </c>
      <c r="G32" s="26">
        <f>IF(Products!A33="","",IF(Products!H33&lt;&gt;"",Products!H33,Inputs!$B$8))</f>
        <v>1.7</v>
      </c>
      <c r="H32" s="27">
        <f>IF(Products!A33="","",F32*G32)</f>
        <v>11.003900763664356</v>
      </c>
      <c r="I32" s="25">
        <f>IF(Products!A33="","",H32-F32)</f>
        <v>4.5310179615088524</v>
      </c>
      <c r="J32" s="28">
        <f>IF(OR(Products!A33="",H32=0),"",I32/H32)</f>
        <v>0.41176470588235292</v>
      </c>
      <c r="K32" s="3">
        <v>15</v>
      </c>
      <c r="L32" s="29">
        <f>IF(OR(Products!A33="",K32="",C32=0),"← enter market price",(K32-B32-(Inputs!$B$13/4.33/Inputs!$B$10)*C32)/C32)</f>
        <v>81.162703187066981</v>
      </c>
      <c r="M32" s="12" t="str">
        <f>IF(OR(Products!A33="",K32=""),"—",IF(L32&gt;=(D32*(1-Inputs!$B$16)),"✅ Viable","⚠️ Below wage target"))</f>
        <v>✅ Viable</v>
      </c>
    </row>
    <row r="33" spans="1:13" ht="20" customHeight="1" x14ac:dyDescent="0.35">
      <c r="A33" s="22" t="str">
        <f>IF(Products!A34="","",Products!A34)</f>
        <v>3D Coral Structure</v>
      </c>
      <c r="B33" s="23">
        <f>IF(Products!A34="","",Products!E34)</f>
        <v>0.49362</v>
      </c>
      <c r="C33" s="24">
        <f>IF(Products!A34="","",Products!F34)</f>
        <v>8.3333333333333329E-2</v>
      </c>
      <c r="D33" s="25">
        <f>IF(Products!A34="","",IF(Products!G34&lt;&gt;"",Products!G34,Inputs!$B$5))</f>
        <v>30</v>
      </c>
      <c r="E33" s="25">
        <f>IF(Products!A34="","",D33*C33)</f>
        <v>2.5</v>
      </c>
      <c r="F33" s="25">
        <f>IF(Products!A34="","",E33+B33+(Inputs!$B$13/4.33/Inputs!$B$10)*C33)</f>
        <v>3.236441401077752</v>
      </c>
      <c r="G33" s="26">
        <f>IF(Products!A34="","",IF(Products!H34&lt;&gt;"",Products!H34,Inputs!$B$8))</f>
        <v>1.7</v>
      </c>
      <c r="H33" s="27">
        <f>IF(Products!A34="","",F33*G33)</f>
        <v>5.5019503818321782</v>
      </c>
      <c r="I33" s="25">
        <f>IF(Products!A34="","",H33-F33)</f>
        <v>2.2655089807544262</v>
      </c>
      <c r="J33" s="28">
        <f>IF(OR(Products!A34="",H33=0),"",I33/H33)</f>
        <v>0.41176470588235292</v>
      </c>
      <c r="K33" s="3">
        <v>5</v>
      </c>
      <c r="L33" s="29">
        <f>IF(OR(Products!A34="",K33="",C33=0),"← enter market price",(K33-B33-(Inputs!$B$13/4.33/Inputs!$B$10)*C33)/C33)</f>
        <v>51.162703187066981</v>
      </c>
      <c r="M33" s="12" t="str">
        <f>IF(OR(Products!A34="",K33=""),"—",IF(L33&gt;=(D33*(1-Inputs!$B$16)),"✅ Viable","⚠️ Below wage target"))</f>
        <v>✅ Viable</v>
      </c>
    </row>
    <row r="34" spans="1:13" ht="20" customHeight="1" x14ac:dyDescent="0.35">
      <c r="A34" s="22" t="str">
        <f>IF(Products!A35="","",Products!A35)</f>
        <v>3D Coral Structure - Painted</v>
      </c>
      <c r="B34" s="23">
        <f>IF(Products!A35="","",Products!E35)</f>
        <v>0.14288999999999999</v>
      </c>
      <c r="C34" s="24">
        <f>IF(Products!A35="","",Products!F35)</f>
        <v>0.5</v>
      </c>
      <c r="D34" s="25">
        <f>IF(Products!A35="","",IF(Products!G35&lt;&gt;"",Products!G35,Inputs!$B$5))</f>
        <v>30</v>
      </c>
      <c r="E34" s="25">
        <f>IF(Products!A35="","",D34*C34)</f>
        <v>15</v>
      </c>
      <c r="F34" s="25">
        <f>IF(Products!A35="","",E34+B34+(Inputs!$B$13/4.33/Inputs!$B$10)*C34)</f>
        <v>16.599818406466511</v>
      </c>
      <c r="G34" s="26">
        <f>IF(Products!A35="","",IF(Products!H35&lt;&gt;"",Products!H35,Inputs!$B$8))</f>
        <v>1.7</v>
      </c>
      <c r="H34" s="27">
        <f>IF(Products!A35="","",F34*G34)</f>
        <v>28.219691290993069</v>
      </c>
      <c r="I34" s="25">
        <f>IF(Products!A35="","",H34-F34)</f>
        <v>11.619872884526558</v>
      </c>
      <c r="J34" s="28">
        <f>IF(OR(Products!A35="",H34=0),"",I34/H34)</f>
        <v>0.41176470588235292</v>
      </c>
      <c r="K34" s="3">
        <v>15</v>
      </c>
      <c r="L34" s="29">
        <f>IF(OR(Products!A35="",K34="",C34=0),"← enter market price",(K34-B34-(Inputs!$B$13/4.33/Inputs!$B$10)*C34)/C34)</f>
        <v>26.800363187066978</v>
      </c>
      <c r="M34" s="12" t="str">
        <f>IF(OR(Products!A35="",K34=""),"—",IF(L34&gt;=(D34*(1-Inputs!$B$16)),"✅ Viable","⚠️ Below wage target"))</f>
        <v>✅ Viable</v>
      </c>
    </row>
    <row r="35" spans="1:13" ht="20" customHeight="1" x14ac:dyDescent="0.35">
      <c r="A35" s="22" t="str">
        <f>IF(Products!A36="","",Products!A36)</f>
        <v>3D Grad Hat w Legs</v>
      </c>
      <c r="B35" s="23">
        <f>IF(Products!A36="","",Products!E36)</f>
        <v>0.14288999999999999</v>
      </c>
      <c r="C35" s="24">
        <f>IF(Products!A36="","",Products!F36)</f>
        <v>8.3000000000000004E-2</v>
      </c>
      <c r="D35" s="25">
        <f>IF(Products!A36="","",IF(Products!G36&lt;&gt;"",Products!G36,Inputs!$B$5))</f>
        <v>30</v>
      </c>
      <c r="E35" s="25">
        <f>IF(Products!A36="","",D35*C35)</f>
        <v>2.4900000000000002</v>
      </c>
      <c r="F35" s="25">
        <f>IF(Products!A36="","",E35+B35+(Inputs!$B$13/4.33/Inputs!$B$10)*C35)</f>
        <v>2.8747401154734411</v>
      </c>
      <c r="G35" s="26">
        <f>IF(Products!A36="","",IF(Products!H36&lt;&gt;"",Products!H36,Inputs!$B$8))</f>
        <v>1.7</v>
      </c>
      <c r="H35" s="27">
        <f>IF(Products!A36="","",F35*G35)</f>
        <v>4.8870581963048494</v>
      </c>
      <c r="I35" s="25">
        <f>IF(Products!A36="","",H35-F35)</f>
        <v>2.0123180808314083</v>
      </c>
      <c r="J35" s="28">
        <f>IF(OR(Products!A36="",H35=0),"",I35/H35)</f>
        <v>0.41176470588235287</v>
      </c>
      <c r="K35" s="3">
        <v>3</v>
      </c>
      <c r="L35" s="29">
        <f>IF(OR(Products!A36="",K35="",C35=0),"← enter market price",(K35-B35-(Inputs!$B$13/4.33/Inputs!$B$10)*C35)/C35)</f>
        <v>31.509155235259747</v>
      </c>
      <c r="M35" s="12" t="str">
        <f>IF(OR(Products!A36="",K35=""),"—",IF(L35&gt;=(D35*(1-Inputs!$B$16)),"✅ Viable","⚠️ Below wage target"))</f>
        <v>✅ Viable</v>
      </c>
    </row>
    <row r="36" spans="1:13" ht="20" customHeight="1" x14ac:dyDescent="0.35">
      <c r="A36" s="22" t="str">
        <f>IF(Products!A37="","",Products!A37)</f>
        <v>3D Organic Recycle Bin</v>
      </c>
      <c r="B36" s="23">
        <f>IF(Products!A37="","",Products!E37)</f>
        <v>7.2451724999999998</v>
      </c>
      <c r="C36" s="24">
        <f>IF(Products!A37="","",Products!F37)</f>
        <v>8.3333333333333329E-2</v>
      </c>
      <c r="D36" s="25">
        <f>IF(Products!A37="","",IF(Products!G37&lt;&gt;"",Products!G37,Inputs!$B$5))</f>
        <v>30</v>
      </c>
      <c r="E36" s="25">
        <f>IF(Products!A37="","",D36*C36)</f>
        <v>2.5</v>
      </c>
      <c r="F36" s="25">
        <f>IF(Products!A37="","",E36+B36+(Inputs!$B$13/4.33/Inputs!$B$10)*C36)</f>
        <v>9.9879939010777505</v>
      </c>
      <c r="G36" s="26">
        <f>IF(Products!A37="","",IF(Products!H37&lt;&gt;"",Products!H37,Inputs!$B$8))</f>
        <v>1.7</v>
      </c>
      <c r="H36" s="27">
        <f>IF(Products!A37="","",F36*G36)</f>
        <v>16.979589631832177</v>
      </c>
      <c r="I36" s="25">
        <f>IF(Products!A37="","",H36-F36)</f>
        <v>6.9915957307544261</v>
      </c>
      <c r="J36" s="28">
        <f>IF(OR(Products!A37="",H36=0),"",I36/H36)</f>
        <v>0.41176470588235298</v>
      </c>
      <c r="K36" s="3"/>
      <c r="L36" s="29" t="str">
        <f>IF(OR(Products!A37="",K36="",C36=0),"← enter market price",(K36-B36-(Inputs!$B$13/4.33/Inputs!$B$10)*C36)/C36)</f>
        <v>← enter market price</v>
      </c>
      <c r="M36" s="12" t="str">
        <f>IF(OR(Products!A37="",K36=""),"—",IF(L36&gt;=(D36*(1-Inputs!$B$16)),"✅ Viable","⚠️ Below wage target"))</f>
        <v>—</v>
      </c>
    </row>
    <row r="37" spans="1:13" ht="20" customHeight="1" x14ac:dyDescent="0.35">
      <c r="A37" s="22" t="str">
        <f>IF(Products!A38="","",Products!A38)</f>
        <v>3D Bow</v>
      </c>
      <c r="B37" s="23">
        <f>IF(Products!A38="","",Products!E38)</f>
        <v>2.0522901</v>
      </c>
      <c r="C37" s="24">
        <f>IF(Products!A38="","",Products!F38)</f>
        <v>0.16666666666666666</v>
      </c>
      <c r="D37" s="25">
        <f>IF(Products!A38="","",IF(Products!G38&lt;&gt;"",Products!G38,Inputs!$B$5))</f>
        <v>30</v>
      </c>
      <c r="E37" s="25">
        <f>IF(Products!A38="","",D37*C37)</f>
        <v>5</v>
      </c>
      <c r="F37" s="25">
        <f>IF(Products!A38="","",E37+B37+(Inputs!$B$13/4.33/Inputs!$B$10)*C37)</f>
        <v>7.5379329021555046</v>
      </c>
      <c r="G37" s="26">
        <f>IF(Products!A38="","",IF(Products!H38&lt;&gt;"",Products!H38,Inputs!$B$8))</f>
        <v>1.7</v>
      </c>
      <c r="H37" s="27">
        <f>IF(Products!A38="","",F37*G37)</f>
        <v>12.814485933664358</v>
      </c>
      <c r="I37" s="25">
        <f>IF(Products!A38="","",H37-F37)</f>
        <v>5.2765530315088531</v>
      </c>
      <c r="J37" s="28">
        <f>IF(OR(Products!A38="",H37=0),"",I37/H37)</f>
        <v>0.41176470588235292</v>
      </c>
      <c r="K37" s="3"/>
      <c r="L37" s="29" t="str">
        <f>IF(OR(Products!A38="",K37="",C37=0),"← enter market price",(K37-B37-(Inputs!$B$13/4.33/Inputs!$B$10)*C37)/C37)</f>
        <v>← enter market price</v>
      </c>
      <c r="M37" s="12" t="str">
        <f>IF(OR(Products!A38="",K37=""),"—",IF(L37&gt;=(D37*(1-Inputs!$B$16)),"✅ Viable","⚠️ Below wage target"))</f>
        <v>—</v>
      </c>
    </row>
    <row r="38" spans="1:13" ht="20" customHeight="1" x14ac:dyDescent="0.35">
      <c r="A38" s="22" t="str">
        <f>IF(Products!A39="","",Products!A39)</f>
        <v/>
      </c>
      <c r="B38" s="23" t="str">
        <f>IF(Products!A39="","",Products!E39)</f>
        <v/>
      </c>
      <c r="C38" s="24" t="str">
        <f>IF(Products!A39="","",Products!F39)</f>
        <v/>
      </c>
      <c r="D38" s="25" t="str">
        <f>IF(Products!A39="","",IF(Products!G39&lt;&gt;"",Products!G39,Inputs!$B$5))</f>
        <v/>
      </c>
      <c r="E38" s="25" t="str">
        <f>IF(Products!A39="","",D38*C38)</f>
        <v/>
      </c>
      <c r="F38" s="25" t="str">
        <f>IF(Products!A39="","",E38+B38+(Inputs!$B$13/4.33/Inputs!$B$10)*C38)</f>
        <v/>
      </c>
      <c r="G38" s="26" t="str">
        <f>IF(Products!A39="","",IF(Products!H39&lt;&gt;"",Products!H39,Inputs!$B$8))</f>
        <v/>
      </c>
      <c r="H38" s="27" t="str">
        <f>IF(Products!A39="","",F38*G38)</f>
        <v/>
      </c>
      <c r="I38" s="25" t="str">
        <f>IF(Products!A39="","",H38-F38)</f>
        <v/>
      </c>
      <c r="J38" s="28" t="str">
        <f>IF(OR(Products!A39="",H38=0),"",I38/H38)</f>
        <v/>
      </c>
      <c r="K38" s="3"/>
      <c r="L38" s="29" t="str">
        <f>IF(OR(Products!A39="",K38="",C38=0),"← enter market price",(K38-B38-(Inputs!$B$13/4.33/Inputs!$B$10)*C38)/C38)</f>
        <v>← enter market price</v>
      </c>
      <c r="M38" s="12" t="str">
        <f>IF(OR(Products!A39="",K38=""),"—",IF(L38&gt;=(D38*(1-Inputs!$B$16)),"✅ Viable","⚠️ Below wage target"))</f>
        <v>—</v>
      </c>
    </row>
    <row r="39" spans="1:13" ht="20" customHeight="1" x14ac:dyDescent="0.35">
      <c r="A39" s="22" t="str">
        <f>IF(Products!A40="","",Products!A40)</f>
        <v/>
      </c>
      <c r="B39" s="23" t="str">
        <f>IF(Products!A40="","",Products!E40)</f>
        <v/>
      </c>
      <c r="C39" s="24" t="str">
        <f>IF(Products!A40="","",Products!F40)</f>
        <v/>
      </c>
      <c r="D39" s="25" t="str">
        <f>IF(Products!A40="","",IF(Products!G40&lt;&gt;"",Products!G40,Inputs!$B$5))</f>
        <v/>
      </c>
      <c r="E39" s="25" t="str">
        <f>IF(Products!A40="","",D39*C39)</f>
        <v/>
      </c>
      <c r="F39" s="25" t="str">
        <f>IF(Products!A40="","",E39+B39+(Inputs!$B$13/4.33/Inputs!$B$10)*C39)</f>
        <v/>
      </c>
      <c r="G39" s="26" t="str">
        <f>IF(Products!A40="","",IF(Products!H40&lt;&gt;"",Products!H40,Inputs!$B$8))</f>
        <v/>
      </c>
      <c r="H39" s="27" t="str">
        <f>IF(Products!A40="","",F39*G39)</f>
        <v/>
      </c>
      <c r="I39" s="25" t="str">
        <f>IF(Products!A40="","",H39-F39)</f>
        <v/>
      </c>
      <c r="J39" s="28" t="str">
        <f>IF(OR(Products!A40="",H39=0),"",I39/H39)</f>
        <v/>
      </c>
      <c r="K39" s="3"/>
      <c r="L39" s="29" t="str">
        <f>IF(OR(Products!A40="",K39="",C39=0),"← enter market price",(K39-B39-(Inputs!$B$13/4.33/Inputs!$B$10)*C39)/C39)</f>
        <v>← enter market price</v>
      </c>
      <c r="M39" s="12" t="str">
        <f>IF(OR(Products!A40="",K39=""),"—",IF(L39&gt;=(D39*(1-Inputs!$B$16)),"✅ Viable","⚠️ Below wage target"))</f>
        <v>—</v>
      </c>
    </row>
    <row r="40" spans="1:13" ht="20" customHeight="1" x14ac:dyDescent="0.35">
      <c r="A40" s="22" t="str">
        <f>IF(Products!A41="","",Products!A41)</f>
        <v/>
      </c>
      <c r="B40" s="23" t="str">
        <f>IF(Products!A41="","",Products!E41)</f>
        <v/>
      </c>
      <c r="C40" s="24" t="str">
        <f>IF(Products!A41="","",Products!F41)</f>
        <v/>
      </c>
      <c r="D40" s="25" t="str">
        <f>IF(Products!A41="","",IF(Products!G41&lt;&gt;"",Products!G41,Inputs!$B$5))</f>
        <v/>
      </c>
      <c r="E40" s="25" t="str">
        <f>IF(Products!A41="","",D40*C40)</f>
        <v/>
      </c>
      <c r="F40" s="25" t="str">
        <f>IF(Products!A41="","",E40+B40+(Inputs!$B$13/4.33/Inputs!$B$10)*C40)</f>
        <v/>
      </c>
      <c r="G40" s="26" t="str">
        <f>IF(Products!A41="","",IF(Products!H41&lt;&gt;"",Products!H41,Inputs!$B$8))</f>
        <v/>
      </c>
      <c r="H40" s="27" t="str">
        <f>IF(Products!A41="","",F40*G40)</f>
        <v/>
      </c>
      <c r="I40" s="25" t="str">
        <f>IF(Products!A41="","",H40-F40)</f>
        <v/>
      </c>
      <c r="J40" s="28" t="str">
        <f>IF(OR(Products!A41="",H40=0),"",I40/H40)</f>
        <v/>
      </c>
      <c r="K40" s="3"/>
      <c r="L40" s="29" t="str">
        <f>IF(OR(Products!A41="",K40="",C40=0),"← enter market price",(K40-B40-(Inputs!$B$13/4.33/Inputs!$B$10)*C40)/C40)</f>
        <v>← enter market price</v>
      </c>
      <c r="M40" s="12" t="str">
        <f>IF(OR(Products!A41="",K40=""),"—",IF(L40&gt;=(D40*(1-Inputs!$B$16)),"✅ Viable","⚠️ Below wage target"))</f>
        <v>—</v>
      </c>
    </row>
    <row r="41" spans="1:13" ht="20" customHeight="1" x14ac:dyDescent="0.35">
      <c r="A41" s="22" t="str">
        <f>IF(Products!A42="","",Products!A42)</f>
        <v/>
      </c>
      <c r="B41" s="23" t="str">
        <f>IF(Products!A42="","",Products!E42)</f>
        <v/>
      </c>
      <c r="C41" s="24" t="str">
        <f>IF(Products!A42="","",Products!F42)</f>
        <v/>
      </c>
      <c r="D41" s="25" t="str">
        <f>IF(Products!A42="","",IF(Products!G42&lt;&gt;"",Products!G42,Inputs!$B$5))</f>
        <v/>
      </c>
      <c r="E41" s="25" t="str">
        <f>IF(Products!A42="","",D41*C41)</f>
        <v/>
      </c>
      <c r="F41" s="25" t="str">
        <f>IF(Products!A42="","",E41+B41+(Inputs!$B$13/4.33/Inputs!$B$10)*C41)</f>
        <v/>
      </c>
      <c r="G41" s="26" t="str">
        <f>IF(Products!A42="","",IF(Products!H42&lt;&gt;"",Products!H42,Inputs!$B$8))</f>
        <v/>
      </c>
      <c r="H41" s="27" t="str">
        <f>IF(Products!A42="","",F41*G41)</f>
        <v/>
      </c>
      <c r="I41" s="25" t="str">
        <f>IF(Products!A42="","",H41-F41)</f>
        <v/>
      </c>
      <c r="J41" s="28" t="str">
        <f>IF(OR(Products!A42="",H41=0),"",I41/H41)</f>
        <v/>
      </c>
      <c r="K41" s="3"/>
      <c r="L41" s="29" t="str">
        <f>IF(OR(Products!A42="",K41="",C41=0),"← enter market price",(K41-B41-(Inputs!$B$13/4.33/Inputs!$B$10)*C41)/C41)</f>
        <v>← enter market price</v>
      </c>
      <c r="M41" s="12" t="str">
        <f>IF(OR(Products!A42="",K41=""),"—",IF(L41&gt;=(D41*(1-Inputs!$B$16)),"✅ Viable","⚠️ Below wage target"))</f>
        <v>—</v>
      </c>
    </row>
    <row r="42" spans="1:13" ht="20" customHeight="1" x14ac:dyDescent="0.35">
      <c r="A42" s="22" t="str">
        <f>IF(Products!A43="","",Products!A43)</f>
        <v/>
      </c>
      <c r="B42" s="23" t="str">
        <f>IF(Products!A43="","",Products!E43)</f>
        <v/>
      </c>
      <c r="C42" s="24" t="str">
        <f>IF(Products!A43="","",Products!F43)</f>
        <v/>
      </c>
      <c r="D42" s="25" t="str">
        <f>IF(Products!A43="","",IF(Products!G43&lt;&gt;"",Products!G43,Inputs!$B$5))</f>
        <v/>
      </c>
      <c r="E42" s="25" t="str">
        <f>IF(Products!A43="","",D42*C42)</f>
        <v/>
      </c>
      <c r="F42" s="25" t="str">
        <f>IF(Products!A43="","",E42+B42+(Inputs!$B$13/4.33/Inputs!$B$10)*C42)</f>
        <v/>
      </c>
      <c r="G42" s="26" t="str">
        <f>IF(Products!A43="","",IF(Products!H43&lt;&gt;"",Products!H43,Inputs!$B$8))</f>
        <v/>
      </c>
      <c r="H42" s="27" t="str">
        <f>IF(Products!A43="","",F42*G42)</f>
        <v/>
      </c>
      <c r="I42" s="25" t="str">
        <f>IF(Products!A43="","",H42-F42)</f>
        <v/>
      </c>
      <c r="J42" s="28" t="str">
        <f>IF(OR(Products!A43="",H42=0),"",I42/H42)</f>
        <v/>
      </c>
      <c r="K42" s="3"/>
      <c r="L42" s="29" t="str">
        <f>IF(OR(Products!A43="",K42="",C42=0),"← enter market price",(K42-B42-(Inputs!$B$13/4.33/Inputs!$B$10)*C42)/C42)</f>
        <v>← enter market price</v>
      </c>
      <c r="M42" s="12" t="str">
        <f>IF(OR(Products!A43="",K42=""),"—",IF(L42&gt;=(D42*(1-Inputs!$B$16)),"✅ Viable","⚠️ Below wage target"))</f>
        <v>—</v>
      </c>
    </row>
    <row r="43" spans="1:13" ht="20" customHeight="1" x14ac:dyDescent="0.35">
      <c r="A43" s="22" t="str">
        <f>IF(Products!A44="","",Products!A44)</f>
        <v/>
      </c>
      <c r="B43" s="23" t="str">
        <f>IF(Products!A44="","",Products!E44)</f>
        <v/>
      </c>
      <c r="C43" s="24" t="str">
        <f>IF(Products!A44="","",Products!F44)</f>
        <v/>
      </c>
      <c r="D43" s="25" t="str">
        <f>IF(Products!A44="","",IF(Products!G44&lt;&gt;"",Products!G44,Inputs!$B$5))</f>
        <v/>
      </c>
      <c r="E43" s="25" t="str">
        <f>IF(Products!A44="","",D43*C43)</f>
        <v/>
      </c>
      <c r="F43" s="25" t="str">
        <f>IF(Products!A44="","",E43+B43+(Inputs!$B$13/4.33/Inputs!$B$10)*C43)</f>
        <v/>
      </c>
      <c r="G43" s="26" t="str">
        <f>IF(Products!A44="","",IF(Products!H44&lt;&gt;"",Products!H44,Inputs!$B$8))</f>
        <v/>
      </c>
      <c r="H43" s="27" t="str">
        <f>IF(Products!A44="","",F43*G43)</f>
        <v/>
      </c>
      <c r="I43" s="25" t="str">
        <f>IF(Products!A44="","",H43-F43)</f>
        <v/>
      </c>
      <c r="J43" s="28" t="str">
        <f>IF(OR(Products!A44="",H43=0),"",I43/H43)</f>
        <v/>
      </c>
      <c r="K43" s="3"/>
      <c r="L43" s="29" t="str">
        <f>IF(OR(Products!A44="",K43="",C43=0),"← enter market price",(K43-B43-(Inputs!$B$13/4.33/Inputs!$B$10)*C43)/C43)</f>
        <v>← enter market price</v>
      </c>
      <c r="M43" s="12" t="str">
        <f>IF(OR(Products!A44="",K43=""),"—",IF(L43&gt;=(D43*(1-Inputs!$B$16)),"✅ Viable","⚠️ Below wage target"))</f>
        <v>—</v>
      </c>
    </row>
    <row r="44" spans="1:13" ht="20" customHeight="1" x14ac:dyDescent="0.35">
      <c r="A44" s="22" t="str">
        <f>IF(Products!A45="","",Products!A45)</f>
        <v/>
      </c>
      <c r="B44" s="23" t="str">
        <f>IF(Products!A45="","",Products!E45)</f>
        <v/>
      </c>
      <c r="C44" s="24" t="str">
        <f>IF(Products!A45="","",Products!F45)</f>
        <v/>
      </c>
      <c r="D44" s="25" t="str">
        <f>IF(Products!A45="","",IF(Products!G45&lt;&gt;"",Products!G45,Inputs!$B$5))</f>
        <v/>
      </c>
      <c r="E44" s="25" t="str">
        <f>IF(Products!A45="","",D44*C44)</f>
        <v/>
      </c>
      <c r="F44" s="25" t="str">
        <f>IF(Products!A45="","",E44+B44+(Inputs!$B$13/4.33/Inputs!$B$10)*C44)</f>
        <v/>
      </c>
      <c r="G44" s="26" t="str">
        <f>IF(Products!A45="","",IF(Products!H45&lt;&gt;"",Products!H45,Inputs!$B$8))</f>
        <v/>
      </c>
      <c r="H44" s="27" t="str">
        <f>IF(Products!A45="","",F44*G44)</f>
        <v/>
      </c>
      <c r="I44" s="25" t="str">
        <f>IF(Products!A45="","",H44-F44)</f>
        <v/>
      </c>
      <c r="J44" s="28" t="str">
        <f>IF(OR(Products!A45="",H44=0),"",I44/H44)</f>
        <v/>
      </c>
      <c r="K44" s="3"/>
      <c r="L44" s="29" t="str">
        <f>IF(OR(Products!A45="",K44="",C44=0),"← enter market price",(K44-B44-(Inputs!$B$13/4.33/Inputs!$B$10)*C44)/C44)</f>
        <v>← enter market price</v>
      </c>
      <c r="M44" s="12" t="str">
        <f>IF(OR(Products!A45="",K44=""),"—",IF(L44&gt;=(D44*(1-Inputs!$B$16)),"✅ Viable","⚠️ Below wage target"))</f>
        <v>—</v>
      </c>
    </row>
    <row r="45" spans="1:13" ht="20" customHeight="1" x14ac:dyDescent="0.35">
      <c r="A45" s="22" t="str">
        <f>IF(Products!A46="","",Products!A46)</f>
        <v/>
      </c>
      <c r="B45" s="23" t="str">
        <f>IF(Products!A46="","",Products!E46)</f>
        <v/>
      </c>
      <c r="C45" s="24" t="str">
        <f>IF(Products!A46="","",Products!F46)</f>
        <v/>
      </c>
      <c r="D45" s="25" t="str">
        <f>IF(Products!A46="","",IF(Products!G46&lt;&gt;"",Products!G46,Inputs!$B$5))</f>
        <v/>
      </c>
      <c r="E45" s="25" t="str">
        <f>IF(Products!A46="","",D45*C45)</f>
        <v/>
      </c>
      <c r="F45" s="25" t="str">
        <f>IF(Products!A46="","",E45+B45+(Inputs!$B$13/4.33/Inputs!$B$10)*C45)</f>
        <v/>
      </c>
      <c r="G45" s="26" t="str">
        <f>IF(Products!A46="","",IF(Products!H46&lt;&gt;"",Products!H46,Inputs!$B$8))</f>
        <v/>
      </c>
      <c r="H45" s="27" t="str">
        <f>IF(Products!A46="","",F45*G45)</f>
        <v/>
      </c>
      <c r="I45" s="25" t="str">
        <f>IF(Products!A46="","",H45-F45)</f>
        <v/>
      </c>
      <c r="J45" s="28" t="str">
        <f>IF(OR(Products!A46="",H45=0),"",I45/H45)</f>
        <v/>
      </c>
      <c r="K45" s="3"/>
      <c r="L45" s="29" t="str">
        <f>IF(OR(Products!A46="",K45="",C45=0),"← enter market price",(K45-B45-(Inputs!$B$13/4.33/Inputs!$B$10)*C45)/C45)</f>
        <v>← enter market price</v>
      </c>
      <c r="M45" s="12" t="str">
        <f>IF(OR(Products!A46="",K45=""),"—",IF(L45&gt;=(D45*(1-Inputs!$B$16)),"✅ Viable","⚠️ Below wage target"))</f>
        <v>—</v>
      </c>
    </row>
    <row r="46" spans="1:13" ht="20" customHeight="1" x14ac:dyDescent="0.35">
      <c r="A46" s="22" t="str">
        <f>IF(Products!A47="","",Products!A47)</f>
        <v/>
      </c>
      <c r="B46" s="23" t="str">
        <f>IF(Products!A47="","",Products!E47)</f>
        <v/>
      </c>
      <c r="C46" s="24" t="str">
        <f>IF(Products!A47="","",Products!F47)</f>
        <v/>
      </c>
      <c r="D46" s="25" t="str">
        <f>IF(Products!A47="","",IF(Products!G47&lt;&gt;"",Products!G47,Inputs!$B$5))</f>
        <v/>
      </c>
      <c r="E46" s="25" t="str">
        <f>IF(Products!A47="","",D46*C46)</f>
        <v/>
      </c>
      <c r="F46" s="25" t="str">
        <f>IF(Products!A47="","",E46+B46+(Inputs!$B$13/4.33/Inputs!$B$10)*C46)</f>
        <v/>
      </c>
      <c r="G46" s="26" t="str">
        <f>IF(Products!A47="","",IF(Products!H47&lt;&gt;"",Products!H47,Inputs!$B$8))</f>
        <v/>
      </c>
      <c r="H46" s="27" t="str">
        <f>IF(Products!A47="","",F46*G46)</f>
        <v/>
      </c>
      <c r="I46" s="25" t="str">
        <f>IF(Products!A47="","",H46-F46)</f>
        <v/>
      </c>
      <c r="J46" s="28" t="str">
        <f>IF(OR(Products!A47="",H46=0),"",I46/H46)</f>
        <v/>
      </c>
      <c r="K46" s="3"/>
      <c r="L46" s="29" t="str">
        <f>IF(OR(Products!A47="",K46="",C46=0),"← enter market price",(K46-B46-(Inputs!$B$13/4.33/Inputs!$B$10)*C46)/C46)</f>
        <v>← enter market price</v>
      </c>
      <c r="M46" s="12" t="str">
        <f>IF(OR(Products!A47="",K46=""),"—",IF(L46&gt;=(D46*(1-Inputs!$B$16)),"✅ Viable","⚠️ Below wage target"))</f>
        <v>—</v>
      </c>
    </row>
    <row r="47" spans="1:13" ht="20" customHeight="1" x14ac:dyDescent="0.35">
      <c r="A47" s="22" t="str">
        <f>IF(Products!A48="","",Products!A48)</f>
        <v/>
      </c>
      <c r="B47" s="23" t="str">
        <f>IF(Products!A48="","",Products!E48)</f>
        <v/>
      </c>
      <c r="C47" s="24" t="str">
        <f>IF(Products!A48="","",Products!F48)</f>
        <v/>
      </c>
      <c r="D47" s="25" t="str">
        <f>IF(Products!A48="","",IF(Products!G48&lt;&gt;"",Products!G48,Inputs!$B$5))</f>
        <v/>
      </c>
      <c r="E47" s="25" t="str">
        <f>IF(Products!A48="","",D47*C47)</f>
        <v/>
      </c>
      <c r="F47" s="25" t="str">
        <f>IF(Products!A48="","",E47+B47+(Inputs!$B$13/4.33/Inputs!$B$10)*C47)</f>
        <v/>
      </c>
      <c r="G47" s="26" t="str">
        <f>IF(Products!A48="","",IF(Products!H48&lt;&gt;"",Products!H48,Inputs!$B$8))</f>
        <v/>
      </c>
      <c r="H47" s="27" t="str">
        <f>IF(Products!A48="","",F47*G47)</f>
        <v/>
      </c>
      <c r="I47" s="25" t="str">
        <f>IF(Products!A48="","",H47-F47)</f>
        <v/>
      </c>
      <c r="J47" s="28" t="str">
        <f>IF(OR(Products!A48="",H47=0),"",I47/H47)</f>
        <v/>
      </c>
      <c r="K47" s="3"/>
      <c r="L47" s="29" t="str">
        <f>IF(OR(Products!A48="",K47="",C47=0),"← enter market price",(K47-B47-(Inputs!$B$13/4.33/Inputs!$B$10)*C47)/C47)</f>
        <v>← enter market price</v>
      </c>
      <c r="M47" s="12" t="str">
        <f>IF(OR(Products!A48="",K47=""),"—",IF(L47&gt;=(D47*(1-Inputs!$B$16)),"✅ Viable","⚠️ Below wage target"))</f>
        <v>—</v>
      </c>
    </row>
    <row r="48" spans="1:13" ht="20" customHeight="1" x14ac:dyDescent="0.35">
      <c r="A48" s="22" t="str">
        <f>IF(Products!A49="","",Products!A49)</f>
        <v/>
      </c>
      <c r="B48" s="23" t="str">
        <f>IF(Products!A49="","",Products!E49)</f>
        <v/>
      </c>
      <c r="C48" s="24" t="str">
        <f>IF(Products!A49="","",Products!F49)</f>
        <v/>
      </c>
      <c r="D48" s="25" t="str">
        <f>IF(Products!A49="","",IF(Products!G49&lt;&gt;"",Products!G49,Inputs!$B$5))</f>
        <v/>
      </c>
      <c r="E48" s="25" t="str">
        <f>IF(Products!A49="","",D48*C48)</f>
        <v/>
      </c>
      <c r="F48" s="25" t="str">
        <f>IF(Products!A49="","",E48+B48+(Inputs!$B$13/4.33/Inputs!$B$10)*C48)</f>
        <v/>
      </c>
      <c r="G48" s="26" t="str">
        <f>IF(Products!A49="","",IF(Products!H49&lt;&gt;"",Products!H49,Inputs!$B$8))</f>
        <v/>
      </c>
      <c r="H48" s="27" t="str">
        <f>IF(Products!A49="","",F48*G48)</f>
        <v/>
      </c>
      <c r="I48" s="25" t="str">
        <f>IF(Products!A49="","",H48-F48)</f>
        <v/>
      </c>
      <c r="J48" s="28" t="str">
        <f>IF(OR(Products!A49="",H48=0),"",I48/H48)</f>
        <v/>
      </c>
      <c r="K48" s="3"/>
      <c r="L48" s="29" t="str">
        <f>IF(OR(Products!A49="",K48="",C48=0),"← enter market price",(K48-B48-(Inputs!$B$13/4.33/Inputs!$B$10)*C48)/C48)</f>
        <v>← enter market price</v>
      </c>
      <c r="M48" s="12" t="str">
        <f>IF(OR(Products!A49="",K48=""),"—",IF(L48&gt;=(D48*(1-Inputs!$B$16)),"✅ Viable","⚠️ Below wage target"))</f>
        <v>—</v>
      </c>
    </row>
    <row r="49" spans="1:13" ht="20" customHeight="1" x14ac:dyDescent="0.35">
      <c r="A49" s="22" t="str">
        <f>IF(Products!A50="","",Products!A50)</f>
        <v/>
      </c>
      <c r="B49" s="23" t="str">
        <f>IF(Products!A50="","",Products!E50)</f>
        <v/>
      </c>
      <c r="C49" s="24" t="str">
        <f>IF(Products!A50="","",Products!F50)</f>
        <v/>
      </c>
      <c r="D49" s="25" t="str">
        <f>IF(Products!A50="","",IF(Products!G50&lt;&gt;"",Products!G50,Inputs!$B$5))</f>
        <v/>
      </c>
      <c r="E49" s="25" t="str">
        <f>IF(Products!A50="","",D49*C49)</f>
        <v/>
      </c>
      <c r="F49" s="25" t="str">
        <f>IF(Products!A50="","",E49+B49+(Inputs!$B$13/4.33/Inputs!$B$10)*C49)</f>
        <v/>
      </c>
      <c r="G49" s="26" t="str">
        <f>IF(Products!A50="","",IF(Products!H50&lt;&gt;"",Products!H50,Inputs!$B$8))</f>
        <v/>
      </c>
      <c r="H49" s="27" t="str">
        <f>IF(Products!A50="","",F49*G49)</f>
        <v/>
      </c>
      <c r="I49" s="25" t="str">
        <f>IF(Products!A50="","",H49-F49)</f>
        <v/>
      </c>
      <c r="J49" s="28" t="str">
        <f>IF(OR(Products!A50="",H49=0),"",I49/H49)</f>
        <v/>
      </c>
      <c r="K49" s="3"/>
      <c r="L49" s="29" t="str">
        <f>IF(OR(Products!A50="",K49="",C49=0),"← enter market price",(K49-B49-(Inputs!$B$13/4.33/Inputs!$B$10)*C49)/C49)</f>
        <v>← enter market price</v>
      </c>
      <c r="M49" s="12" t="str">
        <f>IF(OR(Products!A50="",K49=""),"—",IF(L49&gt;=(D49*(1-Inputs!$B$16)),"✅ Viable","⚠️ Below wage target"))</f>
        <v>—</v>
      </c>
    </row>
    <row r="50" spans="1:13" ht="20" customHeight="1" x14ac:dyDescent="0.35">
      <c r="A50" s="22" t="str">
        <f>IF(Products!A51="","",Products!A51)</f>
        <v/>
      </c>
      <c r="B50" s="23" t="str">
        <f>IF(Products!A51="","",Products!E51)</f>
        <v/>
      </c>
      <c r="C50" s="24" t="str">
        <f>IF(Products!A51="","",Products!F51)</f>
        <v/>
      </c>
      <c r="D50" s="25" t="str">
        <f>IF(Products!A51="","",IF(Products!G51&lt;&gt;"",Products!G51,Inputs!$B$5))</f>
        <v/>
      </c>
      <c r="E50" s="25" t="str">
        <f>IF(Products!A51="","",D50*C50)</f>
        <v/>
      </c>
      <c r="F50" s="25" t="str">
        <f>IF(Products!A51="","",E50+B50+(Inputs!$B$13/4.33/Inputs!$B$10)*C50)</f>
        <v/>
      </c>
      <c r="G50" s="26" t="str">
        <f>IF(Products!A51="","",IF(Products!H51&lt;&gt;"",Products!H51,Inputs!$B$8))</f>
        <v/>
      </c>
      <c r="H50" s="27" t="str">
        <f>IF(Products!A51="","",F50*G50)</f>
        <v/>
      </c>
      <c r="I50" s="25" t="str">
        <f>IF(Products!A51="","",H50-F50)</f>
        <v/>
      </c>
      <c r="J50" s="28" t="str">
        <f>IF(OR(Products!A51="",H50=0),"",I50/H50)</f>
        <v/>
      </c>
      <c r="K50" s="3"/>
      <c r="L50" s="29" t="str">
        <f>IF(OR(Products!A51="",K50="",C50=0),"← enter market price",(K50-B50-(Inputs!$B$13/4.33/Inputs!$B$10)*C50)/C50)</f>
        <v>← enter market price</v>
      </c>
      <c r="M50" s="12" t="str">
        <f>IF(OR(Products!A51="",K50=""),"—",IF(L50&gt;=(D50*(1-Inputs!$B$16)),"✅ Viable","⚠️ Below wage target"))</f>
        <v>—</v>
      </c>
    </row>
  </sheetData>
  <mergeCells count="2">
    <mergeCell ref="A2:M2"/>
    <mergeCell ref="A1:M1"/>
  </mergeCells>
  <conditionalFormatting sqref="M4:M50">
    <cfRule type="expression" dxfId="5" priority="1">
      <formula>M4="✅ Viable"</formula>
    </cfRule>
    <cfRule type="expression" dxfId="4" priority="2">
      <formula>M4="⚠️ Below wage target"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8860B"/>
  </sheetPr>
  <dimension ref="A1:G63"/>
  <sheetViews>
    <sheetView workbookViewId="0">
      <pane ySplit="3" topLeftCell="A4" activePane="bottomLeft" state="frozen"/>
      <selection pane="bottomLeft" activeCell="C34" sqref="C34"/>
    </sheetView>
  </sheetViews>
  <sheetFormatPr defaultRowHeight="14.5" x14ac:dyDescent="0.35"/>
  <cols>
    <col min="1" max="1" width="29.1796875" bestFit="1" customWidth="1"/>
    <col min="2" max="2" width="13" customWidth="1"/>
    <col min="3" max="3" width="15" customWidth="1"/>
    <col min="4" max="5" width="16" customWidth="1"/>
    <col min="6" max="6" width="15" customWidth="1"/>
    <col min="7" max="7" width="20" customWidth="1"/>
  </cols>
  <sheetData>
    <row r="1" spans="1:7" ht="28" customHeight="1" x14ac:dyDescent="0.35">
      <c r="A1" s="89" t="s">
        <v>82</v>
      </c>
      <c r="B1" s="88"/>
      <c r="C1" s="88"/>
      <c r="D1" s="88"/>
      <c r="E1" s="88"/>
      <c r="F1" s="88"/>
      <c r="G1" s="88"/>
    </row>
    <row r="2" spans="1:7" ht="18" customHeight="1" x14ac:dyDescent="0.35">
      <c r="A2" s="87" t="s">
        <v>83</v>
      </c>
      <c r="B2" s="88"/>
      <c r="C2" s="88"/>
      <c r="D2" s="88"/>
      <c r="E2" s="88"/>
      <c r="F2" s="88"/>
      <c r="G2" s="88"/>
    </row>
    <row r="3" spans="1:7" ht="36" customHeight="1" x14ac:dyDescent="0.35">
      <c r="A3" s="1" t="s">
        <v>61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</row>
    <row r="4" spans="1:7" ht="20" customHeight="1" x14ac:dyDescent="0.35">
      <c r="A4" s="22" t="str">
        <f>IF(Pricing!A4="","",Pricing!A4)</f>
        <v>3D Star Fish</v>
      </c>
      <c r="B4" s="36">
        <f>IF(Pricing!A4="","",Products!I4)</f>
        <v>1</v>
      </c>
      <c r="C4" s="23">
        <f>IF(Pricing!A4="","",Pricing!H4)</f>
        <v>5.0050828818321786</v>
      </c>
      <c r="D4" s="25">
        <f>IF(Pricing!A4="","",B4*C4)</f>
        <v>5.0050828818321786</v>
      </c>
      <c r="E4" s="25">
        <f>IF(Pricing!A4="","",B4*Pricing!I4)</f>
        <v>2.0609164807544267</v>
      </c>
      <c r="F4" s="25">
        <f>IF(OR(Pricing!A4="",Pricing!C4=0,B4=0),"—",E4/(B4*Pricing!C4))</f>
        <v>24.730997769053122</v>
      </c>
      <c r="G4" s="28">
        <f>IF(OR(Pricing!A4="",Inputs!B11=0),"—",D4/Inputs!B11)</f>
        <v>6.256353602290223E-3</v>
      </c>
    </row>
    <row r="5" spans="1:7" ht="20" customHeight="1" x14ac:dyDescent="0.35">
      <c r="A5" s="30" t="str">
        <f>IF(Pricing!A5="","",Pricing!A5)</f>
        <v>3D Star Fish - Fancy</v>
      </c>
      <c r="B5" s="36">
        <f>IF(Pricing!A5="","",Products!I5)</f>
        <v>1</v>
      </c>
      <c r="C5" s="31">
        <f>IF(Pricing!A5="","",Pricing!H5)</f>
        <v>5.321282881832178</v>
      </c>
      <c r="D5" s="33">
        <f>IF(Pricing!A5="","",B5*C5)</f>
        <v>5.321282881832178</v>
      </c>
      <c r="E5" s="33">
        <f>IF(Pricing!A5="","",B5*Pricing!I5)</f>
        <v>2.1911164807544261</v>
      </c>
      <c r="F5" s="33">
        <f>IF(OR(Pricing!A5="",Pricing!C5=0,B5=0),"—",E5/(B5*Pricing!C5))</f>
        <v>26.293397769053115</v>
      </c>
      <c r="G5" s="35">
        <f>IF(OR(Pricing!A5="",Inputs!B11=0),"—",D5/Inputs!B11)</f>
        <v>6.6516036022902228E-3</v>
      </c>
    </row>
    <row r="6" spans="1:7" ht="20" customHeight="1" x14ac:dyDescent="0.35">
      <c r="A6" s="22" t="str">
        <f>IF(Pricing!A6="","",Pricing!A6)</f>
        <v>3D Star Fish - Epic</v>
      </c>
      <c r="B6" s="36">
        <f>IF(Pricing!A6="","",Products!I6)</f>
        <v>1</v>
      </c>
      <c r="C6" s="23">
        <f>IF(Pricing!A6="","",Pricing!H6)</f>
        <v>5.8482828818321781</v>
      </c>
      <c r="D6" s="25">
        <f>IF(Pricing!A6="","",B6*C6)</f>
        <v>5.8482828818321781</v>
      </c>
      <c r="E6" s="25">
        <f>IF(Pricing!A6="","",B6*Pricing!I6)</f>
        <v>2.4081164807544262</v>
      </c>
      <c r="F6" s="25">
        <f>IF(OR(Pricing!A6="",Pricing!C6=0,B6=0),"—",E6/(B6*Pricing!C6))</f>
        <v>28.897397769053114</v>
      </c>
      <c r="G6" s="28">
        <f>IF(OR(Pricing!A6="",Inputs!B11=0),"—",D6/Inputs!B11)</f>
        <v>7.3103536022902224E-3</v>
      </c>
    </row>
    <row r="7" spans="1:7" ht="20" customHeight="1" x14ac:dyDescent="0.35">
      <c r="A7" s="30" t="str">
        <f>IF(Pricing!A7="","",Pricing!A7)</f>
        <v>3D Star Fish - Hand Painted</v>
      </c>
      <c r="B7" s="36">
        <f>IF(Pricing!A7="","",Products!I7)</f>
        <v>0</v>
      </c>
      <c r="C7" s="31">
        <f>IF(Pricing!A7="","",Pricing!H7)</f>
        <v>56.295843081986135</v>
      </c>
      <c r="D7" s="33">
        <f>IF(Pricing!A7="","",B7*C7)</f>
        <v>0</v>
      </c>
      <c r="E7" s="33">
        <f>IF(Pricing!A7="","",B7*Pricing!I7)</f>
        <v>0</v>
      </c>
      <c r="F7" s="33" t="str">
        <f>IF(OR(Pricing!A7="",Pricing!C7=0,B7=0),"—",E7/(B7*Pricing!C7))</f>
        <v>—</v>
      </c>
      <c r="G7" s="35">
        <f>IF(OR(Pricing!A7="",Inputs!B11=0),"—",D7/Inputs!B11)</f>
        <v>0</v>
      </c>
    </row>
    <row r="8" spans="1:7" ht="20" customHeight="1" x14ac:dyDescent="0.35">
      <c r="A8" s="22" t="str">
        <f>IF(Pricing!A8="","",Pricing!A8)</f>
        <v>3D Shell Purse 1</v>
      </c>
      <c r="B8" s="36">
        <f>IF(Pricing!A8="","",Products!I8)</f>
        <v>1</v>
      </c>
      <c r="C8" s="23">
        <f>IF(Pricing!A8="","",Pricing!H8)</f>
        <v>42.625449136489607</v>
      </c>
      <c r="D8" s="25">
        <f>IF(Pricing!A8="","",B8*C8)</f>
        <v>42.625449136489607</v>
      </c>
      <c r="E8" s="25">
        <f>IF(Pricing!A8="","",B8*Pricing!I8)</f>
        <v>17.551655526789837</v>
      </c>
      <c r="F8" s="25">
        <f>IF(OR(Pricing!A8="",Pricing!C8=0,B8=0),"—",E8/(B8*Pricing!C8))</f>
        <v>23.402207369053116</v>
      </c>
      <c r="G8" s="28">
        <f>IF(OR(Pricing!A8="",Inputs!B11=0),"—",D8/Inputs!B11)</f>
        <v>5.3281811420612009E-2</v>
      </c>
    </row>
    <row r="9" spans="1:7" ht="20" customHeight="1" x14ac:dyDescent="0.35">
      <c r="A9" s="30" t="str">
        <f>IF(Pricing!A9="","",Pricing!A9)</f>
        <v>3D Shell Purse 1 - Fancy</v>
      </c>
      <c r="B9" s="36">
        <f>IF(Pricing!A9="","",Products!I9)</f>
        <v>1</v>
      </c>
      <c r="C9" s="31">
        <f>IF(Pricing!A9="","",Pricing!H9)</f>
        <v>43.235409136489608</v>
      </c>
      <c r="D9" s="33">
        <f>IF(Pricing!A9="","",B9*C9)</f>
        <v>43.235409136489608</v>
      </c>
      <c r="E9" s="33">
        <f>IF(Pricing!A9="","",B9*Pricing!I9)</f>
        <v>17.802815526789839</v>
      </c>
      <c r="F9" s="33">
        <f>IF(OR(Pricing!A9="",Pricing!C9=0,B9=0),"—",E9/(B9*Pricing!C9))</f>
        <v>23.737087369053118</v>
      </c>
      <c r="G9" s="35">
        <f>IF(OR(Pricing!A9="",Inputs!B11=0),"—",D9/Inputs!B11)</f>
        <v>5.4044261420612007E-2</v>
      </c>
    </row>
    <row r="10" spans="1:7" ht="20" customHeight="1" x14ac:dyDescent="0.35">
      <c r="A10" s="22" t="str">
        <f>IF(Pricing!A10="","",Pricing!A10)</f>
        <v>3D Shell Purse 1 - Hand Painted</v>
      </c>
      <c r="B10" s="36">
        <f>IF(Pricing!A10="","",Products!I10)</f>
        <v>1</v>
      </c>
      <c r="C10" s="23">
        <f>IF(Pricing!A10="","",Pricing!H10)</f>
        <v>336.38162119191679</v>
      </c>
      <c r="D10" s="25">
        <f>IF(Pricing!A10="","",B10*C10)</f>
        <v>336.38162119191679</v>
      </c>
      <c r="E10" s="25">
        <f>IF(Pricing!A10="","",B10*Pricing!I10)</f>
        <v>138.51007931431866</v>
      </c>
      <c r="F10" s="25">
        <f>IF(OR(Pricing!A10="",Pricing!C10=0,B10=0),"—",E10/(B10*Pricing!C10))</f>
        <v>23.08501321905311</v>
      </c>
      <c r="G10" s="28">
        <f>IF(OR(Pricing!A10="",Inputs!B11=0),"—",D10/Inputs!B11)</f>
        <v>0.42047702648989599</v>
      </c>
    </row>
    <row r="11" spans="1:7" ht="20" customHeight="1" x14ac:dyDescent="0.35">
      <c r="A11" s="30" t="str">
        <f>IF(Pricing!A11="","",Pricing!A11)</f>
        <v>3D Shell Mug 1</v>
      </c>
      <c r="B11" s="36">
        <v>1</v>
      </c>
      <c r="C11" s="31">
        <f>IF(Pricing!A11="","",Pricing!H11)</f>
        <v>14.330675645496536</v>
      </c>
      <c r="D11" s="33">
        <f>IF(Pricing!A11="","",B11*C11)</f>
        <v>14.330675645496536</v>
      </c>
      <c r="E11" s="33">
        <f>IF(Pricing!A11="","",B11*Pricing!I11)</f>
        <v>5.9008664422632791</v>
      </c>
      <c r="F11" s="33">
        <f>IF(OR(Pricing!A11="",Pricing!C11=0,B11=0),"—",E11/(B11*Pricing!C11))</f>
        <v>23.603465769053116</v>
      </c>
      <c r="G11" s="35">
        <f>IF(OR(Pricing!A11="",Inputs!B11=0),"—",D11/Inputs!B11)</f>
        <v>1.7913344556870669E-2</v>
      </c>
    </row>
    <row r="12" spans="1:7" ht="20" customHeight="1" x14ac:dyDescent="0.35">
      <c r="A12" s="22" t="str">
        <f>IF(Pricing!A12="","",Pricing!A12)</f>
        <v>3D Shell Mug 1 - Fancy</v>
      </c>
      <c r="B12" s="36">
        <v>1</v>
      </c>
      <c r="C12" s="23">
        <f>IF(Pricing!A12="","",Pricing!H12)</f>
        <v>14.646875645496536</v>
      </c>
      <c r="D12" s="25">
        <f>IF(Pricing!A12="","",B12*C12)</f>
        <v>14.646875645496536</v>
      </c>
      <c r="E12" s="25">
        <f>IF(Pricing!A12="","",B12*Pricing!I12)</f>
        <v>6.0310664422632794</v>
      </c>
      <c r="F12" s="25">
        <f>IF(OR(Pricing!A12="",Pricing!C12=0,B12=0),"—",E12/(B12*Pricing!C12))</f>
        <v>24.124265769053117</v>
      </c>
      <c r="G12" s="28">
        <f>IF(OR(Pricing!A12="",Inputs!B11=0),"—",D12/Inputs!B11)</f>
        <v>1.8308594556870669E-2</v>
      </c>
    </row>
    <row r="13" spans="1:7" ht="20" customHeight="1" x14ac:dyDescent="0.35">
      <c r="A13" s="30" t="str">
        <f>IF(Pricing!A13="","",Pricing!A13)</f>
        <v>3D Flexi Nautilus</v>
      </c>
      <c r="B13" s="36">
        <v>1</v>
      </c>
      <c r="C13" s="31">
        <f>IF(Pricing!A13="","",Pricing!H13)</f>
        <v>9.9686497236643561</v>
      </c>
      <c r="D13" s="33">
        <f>IF(Pricing!A13="","",B13*C13)</f>
        <v>9.9686497236643561</v>
      </c>
      <c r="E13" s="33">
        <f>IF(Pricing!A13="","",B13*Pricing!I13)</f>
        <v>4.1047381215088521</v>
      </c>
      <c r="F13" s="33">
        <f>IF(OR(Pricing!A13="",Pricing!C13=0,B13=0),"—",E13/(B13*Pricing!C13))</f>
        <v>24.628428729053113</v>
      </c>
      <c r="G13" s="35">
        <f>IF(OR(Pricing!A13="",Inputs!B11=0),"—",D13/Inputs!B11)</f>
        <v>1.2460812154580446E-2</v>
      </c>
    </row>
    <row r="14" spans="1:7" ht="20" customHeight="1" x14ac:dyDescent="0.35">
      <c r="A14" s="22" t="str">
        <f>IF(Pricing!A14="","",Pricing!A14)</f>
        <v>3D Flexi Nautilus - Fancy</v>
      </c>
      <c r="B14" s="36">
        <v>1</v>
      </c>
      <c r="C14" s="23">
        <f>IF(Pricing!A14="","",Pricing!H14)</f>
        <v>10.562697723664357</v>
      </c>
      <c r="D14" s="25">
        <f>IF(Pricing!A14="","",B14*C14)</f>
        <v>10.562697723664357</v>
      </c>
      <c r="E14" s="25">
        <f>IF(Pricing!A14="","",B14*Pricing!I14)</f>
        <v>4.3493461215088525</v>
      </c>
      <c r="F14" s="25">
        <f>IF(OR(Pricing!A14="",Pricing!C14=0,B14=0),"—",E14/(B14*Pricing!C14))</f>
        <v>26.096076729053117</v>
      </c>
      <c r="G14" s="28">
        <f>IF(OR(Pricing!A14="",Inputs!B11=0),"—",D14/Inputs!B11)</f>
        <v>1.3203372154580445E-2</v>
      </c>
    </row>
    <row r="15" spans="1:7" ht="20" customHeight="1" x14ac:dyDescent="0.35">
      <c r="A15" s="30" t="str">
        <f>IF(Pricing!A15="","",Pricing!A15)</f>
        <v>3D Credit Wand</v>
      </c>
      <c r="B15" s="36">
        <f>IF(Pricing!A15="","",Products!I15)</f>
        <v>5</v>
      </c>
      <c r="C15" s="31">
        <f>IF(Pricing!A15="","",Pricing!H15)</f>
        <v>13.366781763664356</v>
      </c>
      <c r="D15" s="33">
        <f>IF(Pricing!A15="","",B15*C15)</f>
        <v>66.833908818321788</v>
      </c>
      <c r="E15" s="33">
        <f>IF(Pricing!A15="","",B15*Pricing!I15)</f>
        <v>27.519844807544263</v>
      </c>
      <c r="F15" s="33">
        <f>IF(OR(Pricing!A15="",Pricing!C15=0,B15=0),"—",E15/(B15*Pricing!C15))</f>
        <v>33.02381376905312</v>
      </c>
      <c r="G15" s="35">
        <f>IF(OR(Pricing!A15="",Inputs!B11=0),"—",D15/Inputs!B11)</f>
        <v>8.3542386022902232E-2</v>
      </c>
    </row>
    <row r="16" spans="1:7" ht="20" customHeight="1" x14ac:dyDescent="0.35">
      <c r="A16" s="22" t="str">
        <f>IF(Pricing!A16="","",Pricing!A16)</f>
        <v>3D Credit Wand - Fancy</v>
      </c>
      <c r="B16" s="36">
        <f>IF(Pricing!A16="","",Products!I16)</f>
        <v>5</v>
      </c>
      <c r="C16" s="23">
        <f>IF(Pricing!A16="","",Pricing!H16)</f>
        <v>12.437185381832176</v>
      </c>
      <c r="D16" s="25">
        <f>IF(Pricing!A16="","",B16*C16)</f>
        <v>62.185926909160884</v>
      </c>
      <c r="E16" s="25">
        <f>IF(Pricing!A16="","",B16*Pricing!I16)</f>
        <v>25.605969903772127</v>
      </c>
      <c r="F16" s="25">
        <f>IF(OR(Pricing!A16="",Pricing!C16=0,B16=0),"—",E16/(B16*Pricing!C16))</f>
        <v>61.454327769053108</v>
      </c>
      <c r="G16" s="28">
        <f>IF(OR(Pricing!A16="",Inputs!B11=0),"—",D16/Inputs!B11)</f>
        <v>7.7732408636451103E-2</v>
      </c>
    </row>
    <row r="17" spans="1:7" ht="20" customHeight="1" x14ac:dyDescent="0.35">
      <c r="A17" s="30" t="str">
        <f>IF(Pricing!A17="","",Pricing!A17)</f>
        <v>3D Pencil Coozie</v>
      </c>
      <c r="B17" s="36">
        <v>1</v>
      </c>
      <c r="C17" s="31">
        <f>IF(Pricing!A17="","",Pricing!H17)</f>
        <v>11.578058763664357</v>
      </c>
      <c r="D17" s="33">
        <f>IF(Pricing!A17="","",B17*C17)</f>
        <v>11.578058763664357</v>
      </c>
      <c r="E17" s="33">
        <f>IF(Pricing!A17="","",B17*Pricing!I17)</f>
        <v>4.7674359615088528</v>
      </c>
      <c r="F17" s="33">
        <f>IF(OR(Pricing!A17="",Pricing!C17=0,B17=0),"—",E17/(B17*Pricing!C17))</f>
        <v>28.604615769053119</v>
      </c>
      <c r="G17" s="35">
        <f>IF(OR(Pricing!A17="",Inputs!B11=0),"—",D17/Inputs!B11)</f>
        <v>1.4472573454580447E-2</v>
      </c>
    </row>
    <row r="18" spans="1:7" ht="20" customHeight="1" x14ac:dyDescent="0.35">
      <c r="A18" s="22" t="str">
        <f>IF(Pricing!A18="","",Pricing!A18)</f>
        <v>3D Pencil Coozie - Fancy</v>
      </c>
      <c r="B18" s="36">
        <v>1</v>
      </c>
      <c r="C18" s="23">
        <f>IF(Pricing!A18="","",Pricing!H18)</f>
        <v>13.658858763664355</v>
      </c>
      <c r="D18" s="25">
        <f>IF(Pricing!A18="","",B18*C18)</f>
        <v>13.658858763664355</v>
      </c>
      <c r="E18" s="25">
        <f>IF(Pricing!A18="","",B18*Pricing!I18)</f>
        <v>5.6242359615088517</v>
      </c>
      <c r="F18" s="25">
        <f>IF(OR(Pricing!A18="",Pricing!C18=0,B18=0),"—",E18/(B18*Pricing!C18))</f>
        <v>33.74541576905311</v>
      </c>
      <c r="G18" s="28">
        <f>IF(OR(Pricing!A18="",Inputs!B11=0),"—",D18/Inputs!B11)</f>
        <v>1.7073573454580444E-2</v>
      </c>
    </row>
    <row r="19" spans="1:7" ht="20" customHeight="1" x14ac:dyDescent="0.35">
      <c r="A19" s="30" t="str">
        <f>IF(Pricing!A19="","",Pricing!A19)</f>
        <v>3D Articulated Octo</v>
      </c>
      <c r="B19" s="36">
        <f>IF(Pricing!A19="","",Products!I19)</f>
        <v>2</v>
      </c>
      <c r="C19" s="31">
        <f>IF(Pricing!A19="","",Pricing!H19)</f>
        <v>56.925208581986141</v>
      </c>
      <c r="D19" s="33">
        <f>IF(Pricing!A19="","",B19*C19)</f>
        <v>113.85041716397228</v>
      </c>
      <c r="E19" s="33">
        <f>IF(Pricing!A19="","",B19*Pricing!I19)</f>
        <v>46.879583538106232</v>
      </c>
      <c r="F19" s="33">
        <f>IF(OR(Pricing!A19="",Pricing!C19=0,B19=0),"—",E19/(B19*Pricing!C19))</f>
        <v>23.439791769053116</v>
      </c>
      <c r="G19" s="35">
        <f>IF(OR(Pricing!A19="",Inputs!B11=0),"—",D19/Inputs!B11)</f>
        <v>0.14231302145496535</v>
      </c>
    </row>
    <row r="20" spans="1:7" ht="20" customHeight="1" x14ac:dyDescent="0.35">
      <c r="A20" s="22" t="str">
        <f>IF(Pricing!A20="","",Pricing!A20)</f>
        <v xml:space="preserve">3D D&amp;D </v>
      </c>
      <c r="B20" s="36">
        <v>1</v>
      </c>
      <c r="C20" s="23">
        <f>IF(Pricing!A20="","",Pricing!H20)</f>
        <v>72.780802581986151</v>
      </c>
      <c r="D20" s="25">
        <f>IF(Pricing!A20="","",B20*C20)</f>
        <v>72.780802581986151</v>
      </c>
      <c r="E20" s="25">
        <f>IF(Pricing!A20="","",B20*Pricing!I20)</f>
        <v>29.968565769053122</v>
      </c>
      <c r="F20" s="25">
        <f>IF(OR(Pricing!A20="",Pricing!C20=0,B20=0),"—",E20/(B20*Pricing!C20))</f>
        <v>29.968565769053122</v>
      </c>
      <c r="G20" s="28">
        <f>IF(OR(Pricing!A20="",Inputs!B11=0),"—",D20/Inputs!B11)</f>
        <v>9.0976003227482685E-2</v>
      </c>
    </row>
    <row r="21" spans="1:7" ht="20" customHeight="1" x14ac:dyDescent="0.35">
      <c r="A21" s="30" t="str">
        <f>IF(Pricing!A21="","",Pricing!A21)</f>
        <v>3D Dad Keychain</v>
      </c>
      <c r="B21" s="36">
        <v>1</v>
      </c>
      <c r="C21" s="31">
        <f>IF(Pricing!A21="","",Pricing!H21)</f>
        <v>4.7511283818321779</v>
      </c>
      <c r="D21" s="33">
        <f>IF(Pricing!A21="","",B21*C21)</f>
        <v>4.7511283818321779</v>
      </c>
      <c r="E21" s="33">
        <f>IF(Pricing!A21="","",B21*Pricing!I21)</f>
        <v>1.956346980754426</v>
      </c>
      <c r="F21" s="33">
        <f>IF(OR(Pricing!A21="",Pricing!C21=0,B21=0),"—",E21/(B21*Pricing!C21))</f>
        <v>23.476163769053112</v>
      </c>
      <c r="G21" s="35">
        <f>IF(OR(Pricing!A21="",Inputs!B11=0),"—",D21/Inputs!B11)</f>
        <v>5.9389104772902225E-3</v>
      </c>
    </row>
    <row r="22" spans="1:7" ht="20" customHeight="1" x14ac:dyDescent="0.35">
      <c r="A22" s="22" t="str">
        <f>IF(Pricing!A22="","",Pricing!A22)</f>
        <v>3D Dog Dad Key Chain</v>
      </c>
      <c r="B22" s="36">
        <v>1</v>
      </c>
      <c r="C22" s="23">
        <f>IF(Pricing!A22="","",Pricing!H22)</f>
        <v>5.0382073818321782</v>
      </c>
      <c r="D22" s="25">
        <f>IF(Pricing!A22="","",B22*C22)</f>
        <v>5.0382073818321782</v>
      </c>
      <c r="E22" s="25">
        <f>IF(Pricing!A22="","",B22*Pricing!I22)</f>
        <v>2.0745559807544263</v>
      </c>
      <c r="F22" s="25">
        <f>IF(OR(Pricing!A22="",Pricing!C22=0,B22=0),"—",E22/(B22*Pricing!C22))</f>
        <v>24.894671769053115</v>
      </c>
      <c r="G22" s="28">
        <f>IF(OR(Pricing!A22="",Inputs!B11=0),"—",D22/Inputs!B11)</f>
        <v>6.2977592272902231E-3</v>
      </c>
    </row>
    <row r="23" spans="1:7" ht="20" customHeight="1" x14ac:dyDescent="0.35">
      <c r="A23" s="30" t="str">
        <f>IF(Pricing!A23="","",Pricing!A23)</f>
        <v>3D Mama w Rose</v>
      </c>
      <c r="B23" s="36">
        <v>1</v>
      </c>
      <c r="C23" s="31">
        <f>IF(Pricing!A23="","",Pricing!H23)</f>
        <v>4.7290453818321785</v>
      </c>
      <c r="D23" s="33">
        <f>IF(Pricing!A23="","",B23*C23)</f>
        <v>4.7290453818321785</v>
      </c>
      <c r="E23" s="33">
        <f>IF(Pricing!A23="","",B23*Pricing!I23)</f>
        <v>1.9472539807544265</v>
      </c>
      <c r="F23" s="33">
        <f>IF(OR(Pricing!A23="",Pricing!C23=0,B23=0),"—",E23/(B23*Pricing!C23))</f>
        <v>23.367047769053119</v>
      </c>
      <c r="G23" s="35">
        <f>IF(OR(Pricing!A23="",Inputs!B11=0),"—",D23/Inputs!B11)</f>
        <v>5.9113067272902227E-3</v>
      </c>
    </row>
    <row r="24" spans="1:7" ht="20" customHeight="1" x14ac:dyDescent="0.35">
      <c r="A24" s="22" t="str">
        <f>IF(Pricing!A24="","",Pricing!A24)</f>
        <v>3D Canyon Rock</v>
      </c>
      <c r="B24" s="36">
        <f>IF(Pricing!A24="","",Products!I25)</f>
        <v>0</v>
      </c>
      <c r="C24" s="23">
        <f>IF(Pricing!A24="","",Pricing!H24)</f>
        <v>60.691243401986142</v>
      </c>
      <c r="D24" s="25">
        <f>IF(Pricing!A24="","",B24*C24)</f>
        <v>0</v>
      </c>
      <c r="E24" s="25">
        <f>IF(Pricing!A24="","",B24*Pricing!I24)</f>
        <v>0</v>
      </c>
      <c r="F24" s="25" t="str">
        <f>IF(OR(Pricing!A24="",Pricing!C24=0,B24=0),"—",E24/(B24*Pricing!C24))</f>
        <v>—</v>
      </c>
      <c r="G24" s="28">
        <f>IF(OR(Pricing!A24="",Inputs!B11=0),"—",D24/Inputs!B11)</f>
        <v>0</v>
      </c>
    </row>
    <row r="25" spans="1:7" ht="20" customHeight="1" x14ac:dyDescent="0.35">
      <c r="A25" s="30" t="str">
        <f>IF(Pricing!A25="","",Pricing!A25)</f>
        <v>3D Shell Soap - Md x 3</v>
      </c>
      <c r="B25" s="36">
        <f>IF(Pricing!A25="","",Products!I26)</f>
        <v>0</v>
      </c>
      <c r="C25" s="31">
        <f>IF(Pricing!A25="","",Pricing!H25)</f>
        <v>18.644373524689318</v>
      </c>
      <c r="D25" s="33">
        <f>IF(Pricing!A25="","",B25*C25)</f>
        <v>0</v>
      </c>
      <c r="E25" s="33">
        <f>IF(Pricing!A25="","",B25*Pricing!I25)</f>
        <v>0</v>
      </c>
      <c r="F25" s="33" t="str">
        <f>IF(OR(Pricing!A25="",Pricing!C25=0,B25=0),"—",E25/(B25*Pricing!C25))</f>
        <v>—</v>
      </c>
      <c r="G25" s="35">
        <f>IF(OR(Pricing!A25="",Inputs!B11=0),"—",D25/Inputs!B11)</f>
        <v>0</v>
      </c>
    </row>
    <row r="26" spans="1:7" ht="20" customHeight="1" x14ac:dyDescent="0.35">
      <c r="A26" s="22" t="str">
        <f>IF(Pricing!A26="","",Pricing!A26)</f>
        <v>3D Shell Soap - X-Sm x 7</v>
      </c>
      <c r="B26" s="36">
        <f>IF(Pricing!A26="","",Products!I27)</f>
        <v>0</v>
      </c>
      <c r="C26" s="23">
        <f>IF(Pricing!A26="","",Pricing!H26)</f>
        <v>8.9349449532607501</v>
      </c>
      <c r="D26" s="25">
        <f>IF(Pricing!A26="","",B26*C26)</f>
        <v>0</v>
      </c>
      <c r="E26" s="25">
        <f>IF(Pricing!A26="","",B26*Pricing!I26)</f>
        <v>0</v>
      </c>
      <c r="F26" s="25" t="str">
        <f>IF(OR(Pricing!A26="",Pricing!C26=0,B26=0),"—",E26/(B26*Pricing!C26))</f>
        <v>—</v>
      </c>
      <c r="G26" s="28">
        <f>IF(OR(Pricing!A26="",Inputs!B11=0),"—",D26/Inputs!B11)</f>
        <v>0</v>
      </c>
    </row>
    <row r="27" spans="1:7" ht="20" customHeight="1" x14ac:dyDescent="0.35">
      <c r="A27" s="30" t="str">
        <f>IF(Pricing!A27="","",Pricing!A27)</f>
        <v>3D Shell Plant Pot</v>
      </c>
      <c r="B27" s="36">
        <f>IF(Pricing!A27="","",Products!I28)</f>
        <v>0</v>
      </c>
      <c r="C27" s="31">
        <f>IF(Pricing!A27="","",Pricing!H27)</f>
        <v>10.003516381832178</v>
      </c>
      <c r="D27" s="33">
        <f>IF(Pricing!A27="","",B27*C27)</f>
        <v>0</v>
      </c>
      <c r="E27" s="33">
        <f>IF(Pricing!A27="","",B27*Pricing!I27)</f>
        <v>0</v>
      </c>
      <c r="F27" s="33" t="str">
        <f>IF(OR(Pricing!A27="",Pricing!C27=0,B27=0),"—",E27/(B27*Pricing!C27))</f>
        <v>—</v>
      </c>
      <c r="G27" s="35">
        <f>IF(OR(Pricing!A27="",Inputs!B11=0),"—",D27/Inputs!B11)</f>
        <v>0</v>
      </c>
    </row>
    <row r="28" spans="1:7" ht="20" customHeight="1" x14ac:dyDescent="0.35">
      <c r="A28" s="22" t="str">
        <f>IF(Pricing!A28="","",Pricing!A28)</f>
        <v>3D Display Bowl for Soaps</v>
      </c>
      <c r="B28" s="36">
        <v>1</v>
      </c>
      <c r="C28" s="23">
        <f>IF(Pricing!A28="","",Pricing!H28)</f>
        <v>6.9849431963048501</v>
      </c>
      <c r="D28" s="25">
        <f>IF(Pricing!A28="","",B28*C28)</f>
        <v>6.9849431963048501</v>
      </c>
      <c r="E28" s="25">
        <f>IF(Pricing!A28="","",B28*Pricing!I28)</f>
        <v>2.8761530808314086</v>
      </c>
      <c r="F28" s="25">
        <f>IF(OR(Pricing!A28="",Pricing!C28=0,B28=0),"—",E28/(B28*Pricing!C28))</f>
        <v>34.652446757004924</v>
      </c>
      <c r="G28" s="28">
        <f>IF(OR(Pricing!A28="",Inputs!B11=0),"—",D28/Inputs!B11)</f>
        <v>8.7311789953810632E-3</v>
      </c>
    </row>
    <row r="29" spans="1:7" ht="20" customHeight="1" x14ac:dyDescent="0.35">
      <c r="A29" s="30" t="str">
        <f>IF(Pricing!A29="","",Pricing!A29)</f>
        <v>3D Simple Tree Silloutte Bookends</v>
      </c>
      <c r="B29" s="36">
        <v>1</v>
      </c>
      <c r="C29" s="31">
        <f>IF(Pricing!A29="","",Pricing!H29)</f>
        <v>5.4357013818321782</v>
      </c>
      <c r="D29" s="33">
        <f>IF(Pricing!A29="","",B29*C29)</f>
        <v>5.4357013818321782</v>
      </c>
      <c r="E29" s="33">
        <f>IF(Pricing!A29="","",B29*Pricing!I29)</f>
        <v>2.2382299807544261</v>
      </c>
      <c r="F29" s="33">
        <f>IF(OR(Pricing!A29="",Pricing!C29=0,B29=0),"—",E29/(B29*Pricing!C29))</f>
        <v>26.858759769053115</v>
      </c>
      <c r="G29" s="35">
        <f>IF(OR(Pricing!A29="",Inputs!B11=0),"—",D29/Inputs!B11)</f>
        <v>6.7946267272902226E-3</v>
      </c>
    </row>
    <row r="30" spans="1:7" ht="20" customHeight="1" x14ac:dyDescent="0.35">
      <c r="A30" s="22" t="str">
        <f>IF(Pricing!A30="","",Pricing!A30)</f>
        <v>3D Egg Yolk Toy</v>
      </c>
      <c r="B30" s="36">
        <v>1</v>
      </c>
      <c r="C30" s="23">
        <f>IF(Pricing!A30="","",Pricing!H30)</f>
        <v>10.253078763664357</v>
      </c>
      <c r="D30" s="25">
        <f>IF(Pricing!A30="","",B30*C30)</f>
        <v>10.253078763664357</v>
      </c>
      <c r="E30" s="25">
        <f>IF(Pricing!A30="","",B30*Pricing!I30)</f>
        <v>4.2218559615088527</v>
      </c>
      <c r="F30" s="25">
        <f>IF(OR(Pricing!A30="",Pricing!C30=0,B30=0),"—",E30/(B30*Pricing!C30))</f>
        <v>25.331135769053116</v>
      </c>
      <c r="G30" s="28">
        <f>IF(OR(Pricing!A30="",Inputs!B11=0),"—",D30/Inputs!B11)</f>
        <v>1.2816348454580446E-2</v>
      </c>
    </row>
    <row r="31" spans="1:7" ht="20" customHeight="1" x14ac:dyDescent="0.35">
      <c r="A31" s="30" t="str">
        <f>IF(Pricing!A31="","",Pricing!A31)</f>
        <v>3D Cute Dragon Flex</v>
      </c>
      <c r="B31" s="36">
        <f>IF(Pricing!A31="","",Products!I32)</f>
        <v>0</v>
      </c>
      <c r="C31" s="31">
        <f>IF(Pricing!A31="","",Pricing!H31)</f>
        <v>5.9656933818321782</v>
      </c>
      <c r="D31" s="33">
        <f>IF(Pricing!A31="","",B31*C31)</f>
        <v>0</v>
      </c>
      <c r="E31" s="33">
        <f>IF(Pricing!A31="","",B31*Pricing!I31)</f>
        <v>0</v>
      </c>
      <c r="F31" s="33" t="str">
        <f>IF(OR(Pricing!A31="",Pricing!C31=0,B31=0),"—",E31/(B31*Pricing!C31))</f>
        <v>—</v>
      </c>
      <c r="G31" s="35">
        <f>IF(OR(Pricing!A31="",Inputs!B11=0),"—",D31/Inputs!B11)</f>
        <v>0</v>
      </c>
    </row>
    <row r="32" spans="1:7" ht="20" customHeight="1" x14ac:dyDescent="0.35">
      <c r="A32" s="22" t="str">
        <f>IF(Pricing!A32="","",Pricing!A32)</f>
        <v>3D Horizontal Tripod</v>
      </c>
      <c r="B32" s="36">
        <f>IF(Pricing!A32="","",Products!I33)</f>
        <v>0</v>
      </c>
      <c r="C32" s="23">
        <f>IF(Pricing!A32="","",Pricing!H32)</f>
        <v>11.003900763664356</v>
      </c>
      <c r="D32" s="25">
        <f>IF(Pricing!A32="","",B32*C32)</f>
        <v>0</v>
      </c>
      <c r="E32" s="25">
        <f>IF(Pricing!A32="","",B32*Pricing!I32)</f>
        <v>0</v>
      </c>
      <c r="F32" s="25" t="str">
        <f>IF(OR(Pricing!A32="",Pricing!C32=0,B32=0),"—",E32/(B32*Pricing!C32))</f>
        <v>—</v>
      </c>
      <c r="G32" s="28">
        <f>IF(OR(Pricing!A32="",Inputs!B11=0),"—",D32/Inputs!B11)</f>
        <v>0</v>
      </c>
    </row>
    <row r="33" spans="1:7" ht="20" customHeight="1" x14ac:dyDescent="0.35">
      <c r="A33" s="30" t="str">
        <f>IF(Pricing!A33="","",Pricing!A33)</f>
        <v>3D Coral Structure</v>
      </c>
      <c r="B33" s="36">
        <f>IF(Pricing!A33="","",Products!I34)</f>
        <v>0</v>
      </c>
      <c r="C33" s="31">
        <f>IF(Pricing!A33="","",Pricing!H33)</f>
        <v>5.5019503818321782</v>
      </c>
      <c r="D33" s="33">
        <f>IF(Pricing!A33="","",B33*C33)</f>
        <v>0</v>
      </c>
      <c r="E33" s="33">
        <f>IF(Pricing!A33="","",B33*Pricing!I33)</f>
        <v>0</v>
      </c>
      <c r="F33" s="33" t="str">
        <f>IF(OR(Pricing!A33="",Pricing!C33=0,B33=0),"—",E33/(B33*Pricing!C33))</f>
        <v>—</v>
      </c>
      <c r="G33" s="35">
        <f>IF(OR(Pricing!A33="",Inputs!B11=0),"—",D33/Inputs!B11)</f>
        <v>0</v>
      </c>
    </row>
    <row r="34" spans="1:7" ht="20" customHeight="1" x14ac:dyDescent="0.35">
      <c r="A34" s="22" t="str">
        <f>IF(Pricing!A34="","",Pricing!A34)</f>
        <v>3D Coral Structure - Painted</v>
      </c>
      <c r="B34" s="36">
        <v>2</v>
      </c>
      <c r="C34" s="23">
        <f>IF(Pricing!A34="","",Pricing!H34)</f>
        <v>28.219691290993069</v>
      </c>
      <c r="D34" s="25">
        <f>IF(Pricing!A34="","",B34*C34)</f>
        <v>56.439382581986138</v>
      </c>
      <c r="E34" s="25">
        <f>IF(Pricing!A34="","",B34*Pricing!I34)</f>
        <v>23.239745769053116</v>
      </c>
      <c r="F34" s="25">
        <f>IF(OR(Pricing!A34="",Pricing!C34=0,B34=0),"—",E34/(B34*Pricing!C34))</f>
        <v>23.239745769053116</v>
      </c>
      <c r="G34" s="28">
        <f>IF(OR(Pricing!A34="",Inputs!B11=0),"—",D34/Inputs!B11)</f>
        <v>7.0549228227482677E-2</v>
      </c>
    </row>
    <row r="35" spans="1:7" ht="20" customHeight="1" x14ac:dyDescent="0.35">
      <c r="A35" s="30" t="str">
        <f>IF(Pricing!A35="","",Pricing!A35)</f>
        <v>3D Grad Hat w Legs</v>
      </c>
      <c r="B35" s="36">
        <f>IF(Pricing!A35="","",Products!I36)</f>
        <v>0</v>
      </c>
      <c r="C35" s="31">
        <f>IF(Pricing!A35="","",Pricing!H35)</f>
        <v>4.8870581963048494</v>
      </c>
      <c r="D35" s="33">
        <f>IF(Pricing!A35="","",B35*C35)</f>
        <v>0</v>
      </c>
      <c r="E35" s="33">
        <f>IF(Pricing!A35="","",B35*Pricing!I35)</f>
        <v>0</v>
      </c>
      <c r="F35" s="33" t="str">
        <f>IF(OR(Pricing!A35="",Pricing!C35=0,B35=0),"—",E35/(B35*Pricing!C35))</f>
        <v>—</v>
      </c>
      <c r="G35" s="35">
        <f>IF(OR(Pricing!A35="",Inputs!B11=0),"—",D35/Inputs!B11)</f>
        <v>0</v>
      </c>
    </row>
    <row r="36" spans="1:7" ht="20" customHeight="1" x14ac:dyDescent="0.35">
      <c r="A36" s="22" t="str">
        <f>IF(Pricing!A36="","",Pricing!A36)</f>
        <v>3D Organic Recycle Bin</v>
      </c>
      <c r="B36" s="36">
        <f>IF(Pricing!A36="","",Products!I37)</f>
        <v>0</v>
      </c>
      <c r="C36" s="23">
        <f>IF(Pricing!A36="","",Pricing!H36)</f>
        <v>16.979589631832177</v>
      </c>
      <c r="D36" s="25">
        <f>IF(Pricing!A36="","",B36*C36)</f>
        <v>0</v>
      </c>
      <c r="E36" s="25">
        <f>IF(Pricing!A36="","",B36*Pricing!I36)</f>
        <v>0</v>
      </c>
      <c r="F36" s="25" t="str">
        <f>IF(OR(Pricing!A36="",Pricing!C36=0,B36=0),"—",E36/(B36*Pricing!C36))</f>
        <v>—</v>
      </c>
      <c r="G36" s="28">
        <f>IF(OR(Pricing!A36="",Inputs!B11=0),"—",D36/Inputs!B11)</f>
        <v>0</v>
      </c>
    </row>
    <row r="37" spans="1:7" ht="20" customHeight="1" x14ac:dyDescent="0.35">
      <c r="A37" s="30" t="str">
        <f>IF(Pricing!A37="","",Pricing!A37)</f>
        <v>3D Bow</v>
      </c>
      <c r="B37" s="36">
        <f>IF(Pricing!A37="","",Products!I38)</f>
        <v>0</v>
      </c>
      <c r="C37" s="31">
        <f>IF(Pricing!A37="","",Pricing!H37)</f>
        <v>12.814485933664358</v>
      </c>
      <c r="D37" s="33">
        <f>IF(Pricing!A37="","",B37*C37)</f>
        <v>0</v>
      </c>
      <c r="E37" s="33">
        <f>IF(Pricing!A37="","",B37*Pricing!I37)</f>
        <v>0</v>
      </c>
      <c r="F37" s="33" t="str">
        <f>IF(OR(Pricing!A37="",Pricing!C37=0,B37=0),"—",E37/(B37*Pricing!C37))</f>
        <v>—</v>
      </c>
      <c r="G37" s="35">
        <f>IF(OR(Pricing!A37="",Inputs!B11=0),"—",D37/Inputs!B11)</f>
        <v>0</v>
      </c>
    </row>
    <row r="38" spans="1:7" ht="20" customHeight="1" x14ac:dyDescent="0.35">
      <c r="A38" s="22" t="str">
        <f>IF(Pricing!A38="","",Pricing!A38)</f>
        <v/>
      </c>
      <c r="B38" s="36" t="str">
        <f>IF(Pricing!A38="","",Products!I39)</f>
        <v/>
      </c>
      <c r="C38" s="23" t="str">
        <f>IF(Pricing!A38="","",Pricing!H38)</f>
        <v/>
      </c>
      <c r="D38" s="25" t="str">
        <f>IF(Pricing!A38="","",B38*C38)</f>
        <v/>
      </c>
      <c r="E38" s="25" t="str">
        <f>IF(Pricing!A38="","",B38*Pricing!I38)</f>
        <v/>
      </c>
      <c r="F38" s="25" t="str">
        <f>IF(OR(Pricing!A38="",Pricing!C38=0,B38=0),"—",E38/(B38*Pricing!C38))</f>
        <v>—</v>
      </c>
      <c r="G38" s="28" t="str">
        <f>IF(OR(Pricing!A38="",Inputs!B11=0),"—",D38/Inputs!B11)</f>
        <v>—</v>
      </c>
    </row>
    <row r="39" spans="1:7" ht="20" customHeight="1" x14ac:dyDescent="0.35">
      <c r="A39" s="30" t="str">
        <f>IF(Pricing!A39="","",Pricing!A39)</f>
        <v/>
      </c>
      <c r="B39" s="36" t="str">
        <f>IF(Pricing!A39="","",Products!I40)</f>
        <v/>
      </c>
      <c r="C39" s="31" t="str">
        <f>IF(Pricing!A39="","",Pricing!H39)</f>
        <v/>
      </c>
      <c r="D39" s="33" t="str">
        <f>IF(Pricing!A39="","",B39*C39)</f>
        <v/>
      </c>
      <c r="E39" s="33" t="str">
        <f>IF(Pricing!A39="","",B39*Pricing!I39)</f>
        <v/>
      </c>
      <c r="F39" s="33" t="str">
        <f>IF(OR(Pricing!A39="",Pricing!C39=0,B39=0),"—",E39/(B39*Pricing!C39))</f>
        <v>—</v>
      </c>
      <c r="G39" s="35" t="str">
        <f>IF(OR(Pricing!A39="",Inputs!B11=0),"—",D39/Inputs!B11)</f>
        <v>—</v>
      </c>
    </row>
    <row r="40" spans="1:7" ht="20" customHeight="1" x14ac:dyDescent="0.35">
      <c r="A40" s="22" t="str">
        <f>IF(Pricing!A40="","",Pricing!A40)</f>
        <v/>
      </c>
      <c r="B40" s="36" t="str">
        <f>IF(Pricing!A40="","",Products!I41)</f>
        <v/>
      </c>
      <c r="C40" s="23" t="str">
        <f>IF(Pricing!A40="","",Pricing!H40)</f>
        <v/>
      </c>
      <c r="D40" s="25" t="str">
        <f>IF(Pricing!A40="","",B40*C40)</f>
        <v/>
      </c>
      <c r="E40" s="25" t="str">
        <f>IF(Pricing!A40="","",B40*Pricing!I40)</f>
        <v/>
      </c>
      <c r="F40" s="25" t="str">
        <f>IF(OR(Pricing!A40="",Pricing!C40=0,B40=0),"—",E40/(B40*Pricing!C40))</f>
        <v>—</v>
      </c>
      <c r="G40" s="28" t="str">
        <f>IF(OR(Pricing!A40="",Inputs!B11=0),"—",D40/Inputs!B11)</f>
        <v>—</v>
      </c>
    </row>
    <row r="41" spans="1:7" ht="20" customHeight="1" x14ac:dyDescent="0.35">
      <c r="A41" s="30" t="str">
        <f>IF(Pricing!A41="","",Pricing!A41)</f>
        <v/>
      </c>
      <c r="B41" s="36" t="str">
        <f>IF(Pricing!A41="","",Products!I42)</f>
        <v/>
      </c>
      <c r="C41" s="31" t="str">
        <f>IF(Pricing!A41="","",Pricing!H41)</f>
        <v/>
      </c>
      <c r="D41" s="33" t="str">
        <f>IF(Pricing!A41="","",B41*C41)</f>
        <v/>
      </c>
      <c r="E41" s="33" t="str">
        <f>IF(Pricing!A41="","",B41*Pricing!I41)</f>
        <v/>
      </c>
      <c r="F41" s="33" t="str">
        <f>IF(OR(Pricing!A41="",Pricing!C41=0,B41=0),"—",E41/(B41*Pricing!C41))</f>
        <v>—</v>
      </c>
      <c r="G41" s="35" t="str">
        <f>IF(OR(Pricing!A41="",Inputs!B11=0),"—",D41/Inputs!B11)</f>
        <v>—</v>
      </c>
    </row>
    <row r="42" spans="1:7" ht="20" customHeight="1" x14ac:dyDescent="0.35">
      <c r="A42" s="22" t="str">
        <f>IF(Pricing!A42="","",Pricing!A42)</f>
        <v/>
      </c>
      <c r="B42" s="36" t="str">
        <f>IF(Pricing!A42="","",Products!I43)</f>
        <v/>
      </c>
      <c r="C42" s="23" t="str">
        <f>IF(Pricing!A42="","",Pricing!H42)</f>
        <v/>
      </c>
      <c r="D42" s="25" t="str">
        <f>IF(Pricing!A42="","",B42*C42)</f>
        <v/>
      </c>
      <c r="E42" s="25" t="str">
        <f>IF(Pricing!A42="","",B42*Pricing!I42)</f>
        <v/>
      </c>
      <c r="F42" s="25" t="str">
        <f>IF(OR(Pricing!A42="",Pricing!C42=0,B42=0),"—",E42/(B42*Pricing!C42))</f>
        <v>—</v>
      </c>
      <c r="G42" s="28" t="str">
        <f>IF(OR(Pricing!A42="",Inputs!B11=0),"—",D42/Inputs!B11)</f>
        <v>—</v>
      </c>
    </row>
    <row r="43" spans="1:7" ht="20" customHeight="1" x14ac:dyDescent="0.35">
      <c r="A43" s="30" t="str">
        <f>IF(Pricing!A43="","",Pricing!A43)</f>
        <v/>
      </c>
      <c r="B43" s="36" t="str">
        <f>IF(Pricing!A43="","",Products!I44)</f>
        <v/>
      </c>
      <c r="C43" s="31" t="str">
        <f>IF(Pricing!A43="","",Pricing!H43)</f>
        <v/>
      </c>
      <c r="D43" s="33" t="str">
        <f>IF(Pricing!A43="","",B43*C43)</f>
        <v/>
      </c>
      <c r="E43" s="33" t="str">
        <f>IF(Pricing!A43="","",B43*Pricing!I43)</f>
        <v/>
      </c>
      <c r="F43" s="33" t="str">
        <f>IF(OR(Pricing!A43="",Pricing!C43=0,B43=0),"—",E43/(B43*Pricing!C43))</f>
        <v>—</v>
      </c>
      <c r="G43" s="35" t="str">
        <f>IF(OR(Pricing!A43="",Inputs!B11=0),"—",D43/Inputs!B11)</f>
        <v>—</v>
      </c>
    </row>
    <row r="44" spans="1:7" ht="20" customHeight="1" x14ac:dyDescent="0.35">
      <c r="A44" s="22" t="str">
        <f>IF(Pricing!A44="","",Pricing!A44)</f>
        <v/>
      </c>
      <c r="B44" s="36" t="str">
        <f>IF(Pricing!A44="","",Products!I45)</f>
        <v/>
      </c>
      <c r="C44" s="23" t="str">
        <f>IF(Pricing!A44="","",Pricing!H44)</f>
        <v/>
      </c>
      <c r="D44" s="25" t="str">
        <f>IF(Pricing!A44="","",B44*C44)</f>
        <v/>
      </c>
      <c r="E44" s="25" t="str">
        <f>IF(Pricing!A44="","",B44*Pricing!I44)</f>
        <v/>
      </c>
      <c r="F44" s="25" t="str">
        <f>IF(OR(Pricing!A44="",Pricing!C44=0,B44=0),"—",E44/(B44*Pricing!C44))</f>
        <v>—</v>
      </c>
      <c r="G44" s="28" t="str">
        <f>IF(OR(Pricing!A44="",Inputs!B11=0),"—",D44/Inputs!B11)</f>
        <v>—</v>
      </c>
    </row>
    <row r="45" spans="1:7" ht="20" customHeight="1" x14ac:dyDescent="0.35">
      <c r="A45" s="30" t="str">
        <f>IF(Pricing!A45="","",Pricing!A45)</f>
        <v/>
      </c>
      <c r="B45" s="36" t="str">
        <f>IF(Pricing!A45="","",Products!I46)</f>
        <v/>
      </c>
      <c r="C45" s="31" t="str">
        <f>IF(Pricing!A45="","",Pricing!H45)</f>
        <v/>
      </c>
      <c r="D45" s="33" t="str">
        <f>IF(Pricing!A45="","",B45*C45)</f>
        <v/>
      </c>
      <c r="E45" s="33" t="str">
        <f>IF(Pricing!A45="","",B45*Pricing!I45)</f>
        <v/>
      </c>
      <c r="F45" s="33" t="str">
        <f>IF(OR(Pricing!A45="",Pricing!C45=0,B45=0),"—",E45/(B45*Pricing!C45))</f>
        <v>—</v>
      </c>
      <c r="G45" s="35" t="str">
        <f>IF(OR(Pricing!A45="",Inputs!B11=0),"—",D45/Inputs!B11)</f>
        <v>—</v>
      </c>
    </row>
    <row r="46" spans="1:7" ht="20" customHeight="1" x14ac:dyDescent="0.35">
      <c r="A46" s="22" t="str">
        <f>IF(Pricing!A46="","",Pricing!A46)</f>
        <v/>
      </c>
      <c r="B46" s="36" t="str">
        <f>IF(Pricing!A46="","",Products!I47)</f>
        <v/>
      </c>
      <c r="C46" s="23" t="str">
        <f>IF(Pricing!A46="","",Pricing!H46)</f>
        <v/>
      </c>
      <c r="D46" s="25" t="str">
        <f>IF(Pricing!A46="","",B46*C46)</f>
        <v/>
      </c>
      <c r="E46" s="25" t="str">
        <f>IF(Pricing!A46="","",B46*Pricing!I46)</f>
        <v/>
      </c>
      <c r="F46" s="25" t="str">
        <f>IF(OR(Pricing!A46="",Pricing!C46=0,B46=0),"—",E46/(B46*Pricing!C46))</f>
        <v>—</v>
      </c>
      <c r="G46" s="28" t="str">
        <f>IF(OR(Pricing!A46="",Inputs!B11=0),"—",D46/Inputs!B11)</f>
        <v>—</v>
      </c>
    </row>
    <row r="47" spans="1:7" ht="20" customHeight="1" x14ac:dyDescent="0.35">
      <c r="A47" s="30" t="str">
        <f>IF(Pricing!A47="","",Pricing!A47)</f>
        <v/>
      </c>
      <c r="B47" s="36" t="str">
        <f>IF(Pricing!A47="","",Products!I48)</f>
        <v/>
      </c>
      <c r="C47" s="31" t="str">
        <f>IF(Pricing!A47="","",Pricing!H47)</f>
        <v/>
      </c>
      <c r="D47" s="33" t="str">
        <f>IF(Pricing!A47="","",B47*C47)</f>
        <v/>
      </c>
      <c r="E47" s="33" t="str">
        <f>IF(Pricing!A47="","",B47*Pricing!I47)</f>
        <v/>
      </c>
      <c r="F47" s="33" t="str">
        <f>IF(OR(Pricing!A47="",Pricing!C47=0,B47=0),"—",E47/(B47*Pricing!C47))</f>
        <v>—</v>
      </c>
      <c r="G47" s="35" t="str">
        <f>IF(OR(Pricing!A47="",Inputs!B11=0),"—",D47/Inputs!B11)</f>
        <v>—</v>
      </c>
    </row>
    <row r="48" spans="1:7" ht="20" customHeight="1" x14ac:dyDescent="0.35">
      <c r="A48" s="22" t="str">
        <f>IF(Pricing!A48="","",Pricing!A48)</f>
        <v/>
      </c>
      <c r="B48" s="36" t="str">
        <f>IF(Pricing!A48="","",Products!I49)</f>
        <v/>
      </c>
      <c r="C48" s="23" t="str">
        <f>IF(Pricing!A48="","",Pricing!H48)</f>
        <v/>
      </c>
      <c r="D48" s="25" t="str">
        <f>IF(Pricing!A48="","",B48*C48)</f>
        <v/>
      </c>
      <c r="E48" s="25" t="str">
        <f>IF(Pricing!A48="","",B48*Pricing!I48)</f>
        <v/>
      </c>
      <c r="F48" s="25" t="str">
        <f>IF(OR(Pricing!A48="",Pricing!C48=0,B48=0),"—",E48/(B48*Pricing!C48))</f>
        <v>—</v>
      </c>
      <c r="G48" s="28" t="str">
        <f>IF(OR(Pricing!A48="",Inputs!B11=0),"—",D48/Inputs!B11)</f>
        <v>—</v>
      </c>
    </row>
    <row r="49" spans="1:7" ht="20" customHeight="1" x14ac:dyDescent="0.35">
      <c r="A49" s="30" t="str">
        <f>IF(Pricing!A49="","",Pricing!A49)</f>
        <v/>
      </c>
      <c r="B49" s="36" t="str">
        <f>IF(Pricing!A49="","",Products!I50)</f>
        <v/>
      </c>
      <c r="C49" s="31" t="str">
        <f>IF(Pricing!A49="","",Pricing!H49)</f>
        <v/>
      </c>
      <c r="D49" s="33" t="str">
        <f>IF(Pricing!A49="","",B49*C49)</f>
        <v/>
      </c>
      <c r="E49" s="33" t="str">
        <f>IF(Pricing!A49="","",B49*Pricing!I49)</f>
        <v/>
      </c>
      <c r="F49" s="33" t="str">
        <f>IF(OR(Pricing!A49="",Pricing!C49=0,B49=0),"—",E49/(B49*Pricing!C49))</f>
        <v>—</v>
      </c>
      <c r="G49" s="35" t="str">
        <f>IF(OR(Pricing!A49="",Inputs!B11=0),"—",D49/Inputs!B11)</f>
        <v>—</v>
      </c>
    </row>
    <row r="50" spans="1:7" ht="20" customHeight="1" x14ac:dyDescent="0.35">
      <c r="A50" s="22" t="str">
        <f>IF(Pricing!A50="","",Pricing!A50)</f>
        <v/>
      </c>
      <c r="B50" s="36" t="str">
        <f>IF(Pricing!A50="","",Products!I51)</f>
        <v/>
      </c>
      <c r="C50" s="23" t="str">
        <f>IF(Pricing!A50="","",Pricing!H50)</f>
        <v/>
      </c>
      <c r="D50" s="25" t="str">
        <f>IF(Pricing!A50="","",B50*C50)</f>
        <v/>
      </c>
      <c r="E50" s="25" t="str">
        <f>IF(Pricing!A50="","",B50*Pricing!I50)</f>
        <v/>
      </c>
      <c r="F50" s="25" t="str">
        <f>IF(OR(Pricing!A50="",Pricing!C50=0,B50=0),"—",E50/(B50*Pricing!C50))</f>
        <v>—</v>
      </c>
      <c r="G50" s="28" t="str">
        <f>IF(OR(Pricing!A50="",Inputs!B11=0),"—",D50/Inputs!B11)</f>
        <v>—</v>
      </c>
    </row>
    <row r="51" spans="1:7" ht="8" customHeight="1" x14ac:dyDescent="0.35"/>
    <row r="52" spans="1:7" ht="22" customHeight="1" x14ac:dyDescent="0.35">
      <c r="A52" s="97" t="s">
        <v>90</v>
      </c>
      <c r="B52" s="92"/>
      <c r="C52" s="93"/>
      <c r="D52" s="110">
        <f>SUMIF(A4:A50,"&lt;&gt;",D4:D50)</f>
        <v>922.4454869187681</v>
      </c>
      <c r="E52" s="92"/>
      <c r="F52" s="92"/>
      <c r="G52" s="93"/>
    </row>
    <row r="53" spans="1:7" ht="22" customHeight="1" x14ac:dyDescent="0.35">
      <c r="A53" s="97" t="s">
        <v>91</v>
      </c>
      <c r="B53" s="92"/>
      <c r="C53" s="93"/>
      <c r="D53" s="110">
        <f>SUMIF(A4:A50,"&lt;&gt;",E4:E50)</f>
        <v>379.83049461361048</v>
      </c>
      <c r="E53" s="92"/>
      <c r="F53" s="92"/>
      <c r="G53" s="93"/>
    </row>
    <row r="54" spans="1:7" ht="22" customHeight="1" x14ac:dyDescent="0.35">
      <c r="A54" s="97" t="s">
        <v>92</v>
      </c>
      <c r="B54" s="92"/>
      <c r="C54" s="93"/>
      <c r="D54" s="110">
        <f>SUMIF(A4:A50,"&lt;&gt;",E4:E50)*4.33</f>
        <v>1644.6660416769334</v>
      </c>
      <c r="E54" s="92"/>
      <c r="F54" s="92"/>
      <c r="G54" s="93"/>
    </row>
    <row r="55" spans="1:7" ht="6" customHeight="1" x14ac:dyDescent="0.35">
      <c r="A55" s="112"/>
      <c r="B55" s="88"/>
      <c r="C55" s="88"/>
      <c r="D55" s="88"/>
      <c r="E55" s="88"/>
      <c r="F55" s="88"/>
      <c r="G55" s="88"/>
    </row>
    <row r="56" spans="1:7" ht="22" customHeight="1" x14ac:dyDescent="0.35">
      <c r="A56" s="99" t="s">
        <v>93</v>
      </c>
      <c r="B56" s="92"/>
      <c r="C56" s="93"/>
      <c r="D56" s="111">
        <f>Inputs!B11</f>
        <v>800</v>
      </c>
      <c r="E56" s="92"/>
      <c r="F56" s="92"/>
      <c r="G56" s="93"/>
    </row>
    <row r="57" spans="1:7" ht="22" customHeight="1" x14ac:dyDescent="0.35">
      <c r="A57" s="99" t="s">
        <v>94</v>
      </c>
      <c r="B57" s="92"/>
      <c r="C57" s="93"/>
      <c r="D57" s="111">
        <f>SUMIF(A4:A50,"&lt;&gt;",E4:E50)-Inputs!B11</f>
        <v>-420.16950538638952</v>
      </c>
      <c r="E57" s="92"/>
      <c r="F57" s="92"/>
      <c r="G57" s="93"/>
    </row>
    <row r="58" spans="1:7" ht="6" customHeight="1" x14ac:dyDescent="0.35">
      <c r="A58" s="112"/>
      <c r="B58" s="88"/>
      <c r="C58" s="88"/>
      <c r="D58" s="88"/>
      <c r="E58" s="88"/>
      <c r="F58" s="88"/>
      <c r="G58" s="88"/>
    </row>
    <row r="59" spans="1:7" ht="22" customHeight="1" x14ac:dyDescent="0.35">
      <c r="A59" s="99" t="s">
        <v>95</v>
      </c>
      <c r="B59" s="92"/>
      <c r="C59" s="93"/>
      <c r="D59" s="114" t="e">
        <f>SUMPRODUCT((A4:A50&lt;&gt;"")*Products!I4:I54*IFERROR(Pricing!C4:C50*1,0))</f>
        <v>#N/A</v>
      </c>
      <c r="E59" s="92"/>
      <c r="F59" s="92"/>
      <c r="G59" s="93"/>
    </row>
    <row r="60" spans="1:7" ht="22" customHeight="1" x14ac:dyDescent="0.35">
      <c r="A60" s="99" t="s">
        <v>96</v>
      </c>
      <c r="B60" s="92"/>
      <c r="C60" s="93"/>
      <c r="D60" s="114">
        <f>Inputs!B10</f>
        <v>20</v>
      </c>
      <c r="E60" s="92"/>
      <c r="F60" s="92"/>
      <c r="G60" s="93"/>
    </row>
    <row r="61" spans="1:7" ht="6" customHeight="1" x14ac:dyDescent="0.35">
      <c r="A61" s="112"/>
      <c r="B61" s="88"/>
      <c r="C61" s="88"/>
      <c r="D61" s="88"/>
      <c r="E61" s="88"/>
      <c r="F61" s="88"/>
      <c r="G61" s="88"/>
    </row>
    <row r="62" spans="1:7" ht="22" customHeight="1" x14ac:dyDescent="0.35">
      <c r="A62" s="115" t="s">
        <v>97</v>
      </c>
      <c r="B62" s="92"/>
      <c r="C62" s="93"/>
      <c r="D62" s="113">
        <f>SUMIF(A4:A50,"&lt;&gt;",D4:D50)*4.33*Inputs!B16</f>
        <v>599.12834375373984</v>
      </c>
      <c r="E62" s="92"/>
      <c r="F62" s="92"/>
      <c r="G62" s="93"/>
    </row>
    <row r="63" spans="1:7" ht="22" customHeight="1" x14ac:dyDescent="0.35">
      <c r="A63" s="97" t="s">
        <v>98</v>
      </c>
      <c r="B63" s="92"/>
      <c r="C63" s="93"/>
      <c r="D63" s="110">
        <f>SUMIF(A4:A50,"&lt;&gt;",E4:E50)*4.33*(1-Inputs!B16)</f>
        <v>1397.9661354253933</v>
      </c>
      <c r="E63" s="92"/>
      <c r="F63" s="92"/>
      <c r="G63" s="93"/>
    </row>
  </sheetData>
  <mergeCells count="23">
    <mergeCell ref="A52:C52"/>
    <mergeCell ref="A61:G61"/>
    <mergeCell ref="A1:G1"/>
    <mergeCell ref="A63:C63"/>
    <mergeCell ref="D52:G52"/>
    <mergeCell ref="D57:G57"/>
    <mergeCell ref="A59:C59"/>
    <mergeCell ref="A60:C60"/>
    <mergeCell ref="D53:G53"/>
    <mergeCell ref="A55:G55"/>
    <mergeCell ref="A2:G2"/>
    <mergeCell ref="A54:C54"/>
    <mergeCell ref="D62:G62"/>
    <mergeCell ref="D59:G59"/>
    <mergeCell ref="D60:G60"/>
    <mergeCell ref="A62:C62"/>
    <mergeCell ref="A53:C53"/>
    <mergeCell ref="D63:G63"/>
    <mergeCell ref="D56:G56"/>
    <mergeCell ref="A56:C56"/>
    <mergeCell ref="A57:C57"/>
    <mergeCell ref="D54:G54"/>
    <mergeCell ref="A58:G58"/>
  </mergeCells>
  <conditionalFormatting sqref="D57:G57">
    <cfRule type="expression" dxfId="3" priority="1">
      <formula>D57&lt;0</formula>
    </cfRule>
    <cfRule type="expression" dxfId="2" priority="2">
      <formula>D57&gt;=0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392B"/>
  </sheetPr>
  <dimension ref="A1:F14"/>
  <sheetViews>
    <sheetView workbookViewId="0">
      <selection activeCell="E14" sqref="E14"/>
    </sheetView>
  </sheetViews>
  <sheetFormatPr defaultRowHeight="14.5" x14ac:dyDescent="0.35"/>
  <cols>
    <col min="1" max="1" width="28" customWidth="1"/>
    <col min="2" max="5" width="14" customWidth="1"/>
    <col min="6" max="6" width="22" customWidth="1"/>
  </cols>
  <sheetData>
    <row r="1" spans="1:6" ht="28" customHeight="1" x14ac:dyDescent="0.35">
      <c r="A1" s="89" t="s">
        <v>99</v>
      </c>
      <c r="B1" s="88"/>
      <c r="C1" s="88"/>
      <c r="D1" s="88"/>
      <c r="E1" s="88"/>
      <c r="F1" s="88"/>
    </row>
    <row r="2" spans="1:6" ht="18" customHeight="1" x14ac:dyDescent="0.35">
      <c r="A2" s="87" t="s">
        <v>100</v>
      </c>
      <c r="B2" s="88"/>
      <c r="C2" s="88"/>
      <c r="D2" s="88"/>
      <c r="E2" s="88"/>
      <c r="F2" s="88"/>
    </row>
    <row r="3" spans="1:6" ht="36" customHeight="1" x14ac:dyDescent="0.3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34</v>
      </c>
    </row>
    <row r="4" spans="1:6" ht="20" customHeight="1" x14ac:dyDescent="0.35">
      <c r="A4" s="99" t="s">
        <v>106</v>
      </c>
      <c r="B4" s="92"/>
      <c r="C4" s="92"/>
      <c r="D4" s="92"/>
      <c r="E4" s="92"/>
      <c r="F4" s="93"/>
    </row>
    <row r="5" spans="1:6" ht="36" x14ac:dyDescent="0.35">
      <c r="A5" s="11" t="s">
        <v>107</v>
      </c>
      <c r="B5" s="37">
        <v>0.45</v>
      </c>
      <c r="C5" s="37">
        <v>0.65</v>
      </c>
      <c r="D5" s="37">
        <v>0.8</v>
      </c>
      <c r="E5" s="37">
        <v>1</v>
      </c>
      <c r="F5" s="13" t="s">
        <v>108</v>
      </c>
    </row>
    <row r="6" spans="1:6" ht="22" customHeight="1" x14ac:dyDescent="0.35">
      <c r="A6" s="5" t="s">
        <v>109</v>
      </c>
      <c r="B6" s="38">
        <v>250</v>
      </c>
      <c r="C6" s="38">
        <v>80</v>
      </c>
      <c r="D6" s="38">
        <v>30</v>
      </c>
      <c r="E6" s="38">
        <v>0</v>
      </c>
      <c r="F6" s="7" t="s">
        <v>110</v>
      </c>
    </row>
    <row r="8" spans="1:6" ht="20" customHeight="1" x14ac:dyDescent="0.35">
      <c r="A8" s="97" t="s">
        <v>111</v>
      </c>
      <c r="B8" s="92"/>
      <c r="C8" s="92"/>
      <c r="D8" s="92"/>
      <c r="E8" s="92"/>
      <c r="F8" s="93"/>
    </row>
    <row r="9" spans="1:6" ht="22" customHeight="1" x14ac:dyDescent="0.35">
      <c r="A9" s="14" t="s">
        <v>112</v>
      </c>
      <c r="B9" s="39">
        <f>Projections!D52*4.33*B5</f>
        <v>1797.3850312612199</v>
      </c>
      <c r="C9" s="39">
        <f>Projections!D52*4.33*C5</f>
        <v>2596.222822932873</v>
      </c>
      <c r="D9" s="39">
        <f>Projections!D52*4.33*D5</f>
        <v>3195.3511666866129</v>
      </c>
      <c r="E9" s="39">
        <f>Projections!D52*4.33*E5</f>
        <v>3994.1889583582661</v>
      </c>
      <c r="F9" s="40" t="s">
        <v>113</v>
      </c>
    </row>
    <row r="10" spans="1:6" ht="22" customHeight="1" x14ac:dyDescent="0.35">
      <c r="A10" s="5" t="s">
        <v>114</v>
      </c>
      <c r="B10" s="41">
        <f>Overhead!F24</f>
        <v>252.33999999999997</v>
      </c>
      <c r="C10" s="41">
        <f>Overhead!F24</f>
        <v>252.33999999999997</v>
      </c>
      <c r="D10" s="41">
        <f>Overhead!F24</f>
        <v>252.33999999999997</v>
      </c>
      <c r="E10" s="41">
        <f>Overhead!F24</f>
        <v>252.33999999999997</v>
      </c>
      <c r="F10" s="7" t="s">
        <v>115</v>
      </c>
    </row>
    <row r="11" spans="1:6" ht="22" customHeight="1" x14ac:dyDescent="0.35">
      <c r="A11" s="14" t="s">
        <v>116</v>
      </c>
      <c r="B11" s="39">
        <f>B6</f>
        <v>250</v>
      </c>
      <c r="C11" s="39">
        <f>C6</f>
        <v>80</v>
      </c>
      <c r="D11" s="39">
        <f>D6</f>
        <v>30</v>
      </c>
      <c r="E11" s="39">
        <f>E6</f>
        <v>0</v>
      </c>
      <c r="F11" s="40" t="s">
        <v>117</v>
      </c>
    </row>
    <row r="12" spans="1:6" ht="22" customHeight="1" x14ac:dyDescent="0.35">
      <c r="A12" s="5" t="s">
        <v>118</v>
      </c>
      <c r="B12" s="41">
        <f>Projections!D52*4.33*B5*Inputs!B16</f>
        <v>269.60775468918297</v>
      </c>
      <c r="C12" s="41">
        <f>Projections!D52*4.33*C5*Inputs!B16</f>
        <v>389.43342343993095</v>
      </c>
      <c r="D12" s="41">
        <f>Projections!D52*4.33*D5*Inputs!B16</f>
        <v>479.30267500299192</v>
      </c>
      <c r="E12" s="41">
        <f>Projections!D52*4.33*E5*Inputs!B16</f>
        <v>599.12834375373984</v>
      </c>
      <c r="F12" s="7" t="s">
        <v>119</v>
      </c>
    </row>
    <row r="13" spans="1:6" ht="22" customHeight="1" x14ac:dyDescent="0.35">
      <c r="A13" s="14" t="s">
        <v>120</v>
      </c>
      <c r="B13" s="42">
        <f>B9-B10-B11-B12</f>
        <v>1025.437276572037</v>
      </c>
      <c r="C13" s="42">
        <f>C9-C10-C11-C12</f>
        <v>1874.4493994929419</v>
      </c>
      <c r="D13" s="42">
        <f>D9-D10-D11-D12</f>
        <v>2433.7084916836211</v>
      </c>
      <c r="E13" s="42">
        <f>E9-E10-E11-E12</f>
        <v>3142.720614604526</v>
      </c>
      <c r="F13" s="40" t="s">
        <v>121</v>
      </c>
    </row>
    <row r="14" spans="1:6" ht="22" customHeight="1" x14ac:dyDescent="0.35">
      <c r="A14" s="5" t="s">
        <v>122</v>
      </c>
      <c r="B14" s="43">
        <f>B13</f>
        <v>1025.437276572037</v>
      </c>
      <c r="C14" s="43">
        <f>C13+B14</f>
        <v>2899.8866760649789</v>
      </c>
      <c r="D14" s="43">
        <f>D13+C14</f>
        <v>5333.5951677486</v>
      </c>
      <c r="E14" s="43">
        <f>E13+D14</f>
        <v>8476.3157823531255</v>
      </c>
      <c r="F14" s="7" t="s">
        <v>123</v>
      </c>
    </row>
  </sheetData>
  <mergeCells count="4">
    <mergeCell ref="A8:F8"/>
    <mergeCell ref="A2:F2"/>
    <mergeCell ref="A1:F1"/>
    <mergeCell ref="A4:F4"/>
  </mergeCells>
  <conditionalFormatting sqref="B13:E13">
    <cfRule type="expression" dxfId="1" priority="1">
      <formula>B13&lt;0</formula>
    </cfRule>
    <cfRule type="expression" dxfId="0" priority="2">
      <formula>B13&gt;=0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55555"/>
  </sheetPr>
  <dimension ref="A1:B13"/>
  <sheetViews>
    <sheetView showGridLines="0" workbookViewId="0">
      <selection sqref="A1:B1"/>
    </sheetView>
  </sheetViews>
  <sheetFormatPr defaultRowHeight="14.5" x14ac:dyDescent="0.35"/>
  <cols>
    <col min="1" max="1" width="24" customWidth="1"/>
    <col min="2" max="2" width="72" customWidth="1"/>
  </cols>
  <sheetData>
    <row r="1" spans="1:2" ht="28" customHeight="1" x14ac:dyDescent="0.35">
      <c r="A1" s="90" t="s">
        <v>124</v>
      </c>
      <c r="B1" s="88"/>
    </row>
    <row r="3" spans="1:2" ht="52" customHeight="1" x14ac:dyDescent="0.35">
      <c r="A3" s="44" t="s">
        <v>125</v>
      </c>
      <c r="B3" s="45" t="s">
        <v>126</v>
      </c>
    </row>
    <row r="4" spans="1:2" ht="52" customHeight="1" x14ac:dyDescent="0.35">
      <c r="A4" s="46" t="s">
        <v>127</v>
      </c>
      <c r="B4" s="47" t="s">
        <v>128</v>
      </c>
    </row>
    <row r="5" spans="1:2" ht="52" customHeight="1" x14ac:dyDescent="0.35">
      <c r="A5" s="44" t="s">
        <v>129</v>
      </c>
      <c r="B5" s="45" t="s">
        <v>130</v>
      </c>
    </row>
    <row r="6" spans="1:2" ht="52" customHeight="1" x14ac:dyDescent="0.35">
      <c r="A6" s="46" t="s">
        <v>131</v>
      </c>
      <c r="B6" s="47" t="s">
        <v>132</v>
      </c>
    </row>
    <row r="7" spans="1:2" ht="52" customHeight="1" x14ac:dyDescent="0.35">
      <c r="A7" s="44" t="s">
        <v>133</v>
      </c>
      <c r="B7" s="45" t="s">
        <v>134</v>
      </c>
    </row>
    <row r="8" spans="1:2" ht="52" customHeight="1" x14ac:dyDescent="0.35">
      <c r="A8" s="46" t="s">
        <v>135</v>
      </c>
      <c r="B8" s="47" t="s">
        <v>136</v>
      </c>
    </row>
    <row r="9" spans="1:2" ht="52" customHeight="1" x14ac:dyDescent="0.35">
      <c r="A9" s="44" t="s">
        <v>137</v>
      </c>
      <c r="B9" s="45" t="s">
        <v>138</v>
      </c>
    </row>
    <row r="10" spans="1:2" ht="52" customHeight="1" x14ac:dyDescent="0.35">
      <c r="A10" s="46" t="s">
        <v>139</v>
      </c>
      <c r="B10" s="47" t="s">
        <v>140</v>
      </c>
    </row>
    <row r="11" spans="1:2" ht="52" customHeight="1" x14ac:dyDescent="0.35">
      <c r="A11" s="44" t="s">
        <v>141</v>
      </c>
      <c r="B11" s="45" t="s">
        <v>142</v>
      </c>
    </row>
    <row r="12" spans="1:2" ht="52" customHeight="1" x14ac:dyDescent="0.35">
      <c r="A12" s="46" t="s">
        <v>143</v>
      </c>
      <c r="B12" s="47" t="s">
        <v>144</v>
      </c>
    </row>
    <row r="13" spans="1:2" ht="52" customHeight="1" x14ac:dyDescent="0.35">
      <c r="A13" s="44" t="s">
        <v>145</v>
      </c>
      <c r="B13" s="45" t="s">
        <v>146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Inputs</vt:lpstr>
      <vt:lpstr>Overhead</vt:lpstr>
      <vt:lpstr>Filament</vt:lpstr>
      <vt:lpstr>Products</vt:lpstr>
      <vt:lpstr>Pricing</vt:lpstr>
      <vt:lpstr>Projections</vt:lpstr>
      <vt:lpstr>Ramp-Up</vt:lpstr>
      <vt:lpstr>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Abigail Montalvo</cp:lastModifiedBy>
  <dcterms:created xsi:type="dcterms:W3CDTF">2026-05-03T07:50:15Z</dcterms:created>
  <dcterms:modified xsi:type="dcterms:W3CDTF">2026-06-10T04:37:47Z</dcterms:modified>
</cp:coreProperties>
</file>