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Assumptions" sheetId="2" state="visible" r:id="rId4"/>
    <sheet name="Projection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<sst xmlns="http://schemas.openxmlformats.org/spreadsheetml/2006/main" count="188" uniqueCount="146">
  <si>
    <t xml:space="preserve">🏠  RentalPath Revenue Model</t>
  </si>
  <si>
    <t xml:space="preserve">SolFound · Flexible for Residential, Short-Term &amp; Equipment Rentals</t>
  </si>
  <si>
    <t xml:space="preserve">📊  Key Metrics Summary</t>
  </si>
  <si>
    <t xml:space="preserve">Metric</t>
  </si>
  <si>
    <t xml:space="preserve">Month 1</t>
  </si>
  <si>
    <t xml:space="preserve">Month 3</t>
  </si>
  <si>
    <t xml:space="preserve">Month 6</t>
  </si>
  <si>
    <t xml:space="preserve">Month 9</t>
  </si>
  <si>
    <t xml:space="preserve">Month 12</t>
  </si>
  <si>
    <t xml:space="preserve">Year 1 Total</t>
  </si>
  <si>
    <t xml:space="preserve">Gross Rental Revenue</t>
  </si>
  <si>
    <t xml:space="preserve">Vacancy Loss</t>
  </si>
  <si>
    <t xml:space="preserve">Net Rental Income</t>
  </si>
  <si>
    <t xml:space="preserve">Total Operating Expenses</t>
  </si>
  <si>
    <t xml:space="preserve">Net Operating Income (NOI)</t>
  </si>
  <si>
    <t xml:space="preserve">Cash Flow After Financing</t>
  </si>
  <si>
    <t xml:space="preserve">🏷️  Revenue by Rental Type (Month 1)</t>
  </si>
  <si>
    <t xml:space="preserve">Rental Type</t>
  </si>
  <si>
    <t xml:space="preserve">Units/Items</t>
  </si>
  <si>
    <t xml:space="preserve">Rate</t>
  </si>
  <si>
    <t xml:space="preserve">Occupancy</t>
  </si>
  <si>
    <t xml:space="preserve">Monthly Revenue</t>
  </si>
  <si>
    <t xml:space="preserve">% of Total</t>
  </si>
  <si>
    <t xml:space="preserve">Residential</t>
  </si>
  <si>
    <t xml:space="preserve">Short-Term / Vacation</t>
  </si>
  <si>
    <t xml:space="preserve">Equipment / Tools</t>
  </si>
  <si>
    <t xml:space="preserve">TOTAL</t>
  </si>
  <si>
    <t xml:space="preserve">Color Legend</t>
  </si>
  <si>
    <t xml:space="preserve">Blue text</t>
  </si>
  <si>
    <t xml:space="preserve">Input / Assumption you can change</t>
  </si>
  <si>
    <t xml:space="preserve">Black text</t>
  </si>
  <si>
    <t xml:space="preserve">Calculated formula</t>
  </si>
  <si>
    <t xml:space="preserve">Green text</t>
  </si>
  <si>
    <t xml:space="preserve">Linked from another sheet</t>
  </si>
  <si>
    <t xml:space="preserve">⚙️  Assumptions &amp; Inputs</t>
  </si>
  <si>
    <t xml:space="preserve">All BLUE values are inputs — change these to model your specific rental business</t>
  </si>
  <si>
    <t xml:space="preserve">General Settings</t>
  </si>
  <si>
    <t xml:space="preserve">Setting</t>
  </si>
  <si>
    <t xml:space="preserve">Value</t>
  </si>
  <si>
    <t xml:space="preserve">Notes</t>
  </si>
  <si>
    <t xml:space="preserve">Business Start Month</t>
  </si>
  <si>
    <t xml:space="preserve">1 = January, 6 = June, etc.</t>
  </si>
  <si>
    <t xml:space="preserve">Projection Period (months)</t>
  </si>
  <si>
    <t xml:space="preserve">Typically 12 or 24</t>
  </si>
  <si>
    <t xml:space="preserve">Base Currency</t>
  </si>
  <si>
    <t xml:space="preserve">USD</t>
  </si>
  <si>
    <t xml:space="preserve">For display reference only</t>
  </si>
  <si>
    <t xml:space="preserve">Rental Portfolio</t>
  </si>
  <si>
    <t xml:space="preserve">Units / Items</t>
  </si>
  <si>
    <t xml:space="preserve">Rate per Unit</t>
  </si>
  <si>
    <t xml:space="preserve">Occupancy Rate</t>
  </si>
  <si>
    <t xml:space="preserve">Residential (monthly rent)</t>
  </si>
  <si>
    <t xml:space="preserve">e.g. 2 apartments @ $1,200/mo, 95% occupancy</t>
  </si>
  <si>
    <t xml:space="preserve">Short-Term / Vacation (nightly)</t>
  </si>
  <si>
    <t xml:space="preserve">e.g. 1 Airbnb @ $120/night, 70% occupancy × 30 days</t>
  </si>
  <si>
    <t xml:space="preserve">Equipment / Tools (daily rate)</t>
  </si>
  <si>
    <t xml:space="preserve">e.g. 3 tools @ $45/day, 60% utilization × 30 days</t>
  </si>
  <si>
    <t xml:space="preserve">Growth &amp; Occupancy Assumptions</t>
  </si>
  <si>
    <t xml:space="preserve">Assumption</t>
  </si>
  <si>
    <t xml:space="preserve">Monthly Revenue Growth Rate</t>
  </si>
  <si>
    <t xml:space="preserve">Source: Conservative estimate for micro-rentals</t>
  </si>
  <si>
    <t xml:space="preserve">Vacancy/Downtime Rate (Residential)</t>
  </si>
  <si>
    <t xml:space="preserve">Typical range: 3%–10%</t>
  </si>
  <si>
    <t xml:space="preserve">Vacancy/Downtime Rate (Short-Term)</t>
  </si>
  <si>
    <t xml:space="preserve">Typical range: 20%–50% depending on season</t>
  </si>
  <si>
    <t xml:space="preserve">Vacancy/Downtime Rate (Equipment)</t>
  </si>
  <si>
    <t xml:space="preserve">Typical range: 30%–60%</t>
  </si>
  <si>
    <t xml:space="preserve">Security Deposit (months of rent)</t>
  </si>
  <si>
    <t xml:space="preserve">Standard: 1–2 months</t>
  </si>
  <si>
    <t xml:space="preserve">Monthly Operating Expense Assumptions</t>
  </si>
  <si>
    <t xml:space="preserve">Expense Category</t>
  </si>
  <si>
    <t xml:space="preserve">Amount / Rate</t>
  </si>
  <si>
    <t xml:space="preserve">Type</t>
  </si>
  <si>
    <t xml:space="preserve">Mortgage / Rent (if applicable)</t>
  </si>
  <si>
    <t xml:space="preserve">Fixed $</t>
  </si>
  <si>
    <t xml:space="preserve">Your own carrying cost</t>
  </si>
  <si>
    <t xml:space="preserve">Property Tax (monthly)</t>
  </si>
  <si>
    <t xml:space="preserve">Annual ÷ 12</t>
  </si>
  <si>
    <t xml:space="preserve">Insurance</t>
  </si>
  <si>
    <t xml:space="preserve">Landlord or equipment policy</t>
  </si>
  <si>
    <t xml:space="preserve">Maintenance &amp; Repairs</t>
  </si>
  <si>
    <t xml:space="preserve">% of Revenue</t>
  </si>
  <si>
    <t xml:space="preserve">Typical: 1%–3% of gross revenue</t>
  </si>
  <si>
    <t xml:space="preserve">Property Management Fee</t>
  </si>
  <si>
    <t xml:space="preserve">If self-managed, set to 0%</t>
  </si>
  <si>
    <t xml:space="preserve">Utilities (if owner-paid)</t>
  </si>
  <si>
    <t xml:space="preserve">Water, trash, common area</t>
  </si>
  <si>
    <t xml:space="preserve">Platform/Listing Fees</t>
  </si>
  <si>
    <t xml:space="preserve">Airbnb ~3%, VRBO varies</t>
  </si>
  <si>
    <t xml:space="preserve">Cleaning / Turnover Costs</t>
  </si>
  <si>
    <t xml:space="preserve">Per turn; adjust frequency</t>
  </si>
  <si>
    <t xml:space="preserve">Marketing &amp; Advertising</t>
  </si>
  <si>
    <t xml:space="preserve">Social, listings, flyers</t>
  </si>
  <si>
    <t xml:space="preserve">Supplies &amp; Consumables</t>
  </si>
  <si>
    <t xml:space="preserve">Toiletries, tools, etc.</t>
  </si>
  <si>
    <t xml:space="preserve">Accounting / Software</t>
  </si>
  <si>
    <t xml:space="preserve">SolFound LedgerPath 😊</t>
  </si>
  <si>
    <t xml:space="preserve">Miscellaneous</t>
  </si>
  <si>
    <t xml:space="preserve">Buffer for unexpected costs</t>
  </si>
  <si>
    <t xml:space="preserve">Financing (Optional)</t>
  </si>
  <si>
    <t xml:space="preserve">Item</t>
  </si>
  <si>
    <t xml:space="preserve">Loan Amount</t>
  </si>
  <si>
    <t xml:space="preserve">Enter 0 if no financing</t>
  </si>
  <si>
    <t xml:space="preserve">Annual Interest Rate</t>
  </si>
  <si>
    <t xml:space="preserve">e.g. 6.5%</t>
  </si>
  <si>
    <t xml:space="preserve">Loan Term (months)</t>
  </si>
  <si>
    <t xml:space="preserve">e.g. 360 = 30-year mortgage</t>
  </si>
  <si>
    <t xml:space="preserve">Calculated Monthly Payment</t>
  </si>
  <si>
    <t xml:space="preserve">Auto-calculated from above inputs</t>
  </si>
  <si>
    <t xml:space="preserve">📈  12-Month Revenue Projections</t>
  </si>
  <si>
    <t xml:space="preserve">Line Item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</si>
  <si>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</si>
  <si>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</si>
  <si>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</si>
  <si>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</si>
  <si>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</si>
  <si>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</si>
  <si>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</si>
  <si>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</si>
  <si>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</si>
  <si>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</si>
  <si>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</si>
  <si>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</si>
  <si>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REVENUE</t>
  </si>
  <si>
    <t xml:space="preserve">Residential Revenue</t>
  </si>
  <si>
    <t xml:space="preserve">Units × Rate × Occ</t>
  </si>
  <si>
    <t xml:space="preserve">Short-Term Revenue</t>
  </si>
  <si>
    <t xml:space="preserve">Units × Rate × Occ × 30</t>
  </si>
  <si>
    <t xml:space="preserve">Equipment Revenue</t>
  </si>
  <si>
    <t xml:space="preserve">Other / Additional Income</t>
  </si>
  <si>
    <t xml:space="preserve">Add any other streams</t>
  </si>
  <si>
    <t xml:space="preserve">Vacancy / Downtime Loss</t>
  </si>
  <si>
    <t xml:space="preserve">Blended vacancy</t>
  </si>
  <si>
    <t xml:space="preserve">OPERATING EXPENSES</t>
  </si>
  <si>
    <t xml:space="preserve">Mortgage / Rent</t>
  </si>
  <si>
    <t xml:space="preserve">Fixed</t>
  </si>
  <si>
    <t xml:space="preserve">Property Tax</t>
  </si>
  <si>
    <t xml:space="preserve">% of Net Income</t>
  </si>
  <si>
    <t xml:space="preserve">Utilities</t>
  </si>
  <si>
    <t xml:space="preserve">Platform / Listing Fees</t>
  </si>
  <si>
    <t xml:space="preserve">Cleaning / Turnover</t>
  </si>
  <si>
    <t xml:space="preserve">FINANCING</t>
  </si>
  <si>
    <t xml:space="preserve">Loan / Mortgage Payment</t>
  </si>
  <si>
    <t xml:space="preserve">From Assumptions</t>
  </si>
  <si>
    <t xml:space="preserve">NOI Margin</t>
  </si>
  <si>
    <t xml:space="preserve">NOI / Gross Revenue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</si>
</sst>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;&quot;($&quot;#,##0\);\-"/>
    <numFmt numFmtId="166" formatCode="#,##0"/>
    <numFmt numFmtId="167" formatCode="\$#,##0;&quot;($&quot;#,##0\);\-"/>
    <numFmt numFmtId="168" formatCode="0.0%;\-0.0%;\-"/>
    <numFmt numFmtId="169" formatCode="#,##0;\(#,##0\);\-"/>
    <numFmt numFmtId="170" formatCode="\$#,##0.00;&quot;($&quot;#,##0.00\);\-"/>
    <numFmt numFmtId="171" formatCode="0.0%;\-0.0%;\-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Arial"/>
      <family val="0"/>
      <charset val="1"/>
    </font>
    <font>
      <i val="true"/>
      <sz val="10"/>
      <color rgb="FFA9C4E4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8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i val="true"/>
      <sz val="10"/>
      <color rgb="FF0000FF"/>
      <name val="Arial"/>
      <family val="0"/>
      <charset val="1"/>
    </font>
    <font>
      <sz val="10"/>
      <color rgb="FF0000FF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5090"/>
        <bgColor rgb="FF1F3864"/>
      </patternFill>
    </fill>
    <fill>
      <patternFill patternType="solid">
        <fgColor rgb="FF4472C4"/>
        <bgColor rgb="FF2E5090"/>
      </patternFill>
    </fill>
    <fill>
      <patternFill patternType="solid">
        <fgColor rgb="FFD9E1F2"/>
        <bgColor rgb="FFBDD7EE"/>
      </patternFill>
    </fill>
    <fill>
      <patternFill patternType="solid">
        <fgColor rgb="FFF2F2F2"/>
        <bgColor rgb="FFFFFFFF"/>
      </patternFill>
    </fill>
    <fill>
      <patternFill patternType="solid">
        <fgColor rgb="FF595959"/>
        <bgColor rgb="FF2E5090"/>
      </patternFill>
    </fill>
    <fill>
      <patternFill patternType="solid">
        <fgColor rgb="FFBDD7EE"/>
        <bgColor rgb="FFD9E1F2"/>
      </patternFill>
    </fill>
    <fill>
      <patternFill patternType="solid">
        <fgColor rgb="FFFFD7D7"/>
        <bgColor rgb="FFF2F2F2"/>
      </patternFill>
    </fill>
    <fill>
      <patternFill patternType="solid">
        <fgColor rgb="FFC6EFCE"/>
        <bgColor rgb="FFD9E1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1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D9E1F2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A9C4E4"/>
      <rgbColor rgb="FFFF99CC"/>
      <rgbColor rgb="FFCC99FF"/>
      <rgbColor rgb="FFFFD7D7"/>
      <rgbColor rgb="FF4472C4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2E509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8"/>
    <col collapsed="false" customWidth="true" hidden="false" outlineLevel="0" max="7" min="2" style="1" width="16"/>
  </cols>
  <sheetData>
    <row r="1" customFormat="false" ht="49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9.5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4" customFormat="false" ht="24" hidden="false" customHeight="true" outlineLevel="0" collapsed="false">
      <c r="A4" s="4" t="s">
        <v>2</v>
      </c>
      <c r="B4" s="4"/>
      <c r="C4" s="4"/>
      <c r="D4" s="4"/>
      <c r="E4" s="4"/>
      <c r="F4" s="4"/>
      <c r="G4" s="4"/>
    </row>
    <row r="5" customFormat="false" ht="15" hidden="false" customHeight="true" outlineLevel="0" collapsed="false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</row>
    <row r="6" customFormat="false" ht="15" hidden="false" customHeight="true" outlineLevel="0" collapsed="false">
      <c r="A6" s="6" t="s">
        <v>10</v>
      </c>
      <c r="B6" s="7" t="n">
        <f aca="false">Projections!C9</f>
        <v>7230</v>
      </c>
      <c r="C6" s="7" t="n">
        <f aca="false">Projections!E9</f>
        <v>7522.092</v>
      </c>
      <c r="D6" s="7" t="n">
        <f aca="false">Projections!H9</f>
        <v>7982.504207136</v>
      </c>
      <c r="E6" s="7" t="n">
        <f aca="false">Projections!K9</f>
        <v>8471.09732464638</v>
      </c>
      <c r="F6" s="7" t="n">
        <f aca="false">Projections!N9</f>
        <v>8989.59624969334</v>
      </c>
      <c r="G6" s="7" t="n">
        <f aca="false">Projections!O9</f>
        <v>96969.4087343601</v>
      </c>
    </row>
    <row r="7" customFormat="false" ht="15" hidden="false" customHeight="true" outlineLevel="0" collapsed="false">
      <c r="A7" s="8" t="s">
        <v>11</v>
      </c>
      <c r="B7" s="7" t="n">
        <f aca="false">Projections!C10</f>
        <v>-1928</v>
      </c>
      <c r="C7" s="7" t="n">
        <f aca="false">Projections!E10</f>
        <v>-2005.8912</v>
      </c>
      <c r="D7" s="7" t="n">
        <f aca="false">Projections!H10</f>
        <v>-2128.6677885696</v>
      </c>
      <c r="E7" s="7" t="n">
        <f aca="false">Projections!K10</f>
        <v>-2258.95928657237</v>
      </c>
      <c r="F7" s="7" t="n">
        <f aca="false">Projections!N10</f>
        <v>-2397.22566658489</v>
      </c>
      <c r="G7" s="7" t="n">
        <f aca="false">Projections!O10</f>
        <v>-25858.5089958294</v>
      </c>
    </row>
    <row r="8" customFormat="false" ht="15" hidden="false" customHeight="true" outlineLevel="0" collapsed="false">
      <c r="A8" s="6" t="s">
        <v>12</v>
      </c>
      <c r="B8" s="7" t="n">
        <f aca="false">Projections!C11</f>
        <v>5302</v>
      </c>
      <c r="C8" s="7" t="n">
        <f aca="false">Projections!E11</f>
        <v>5516.2008</v>
      </c>
      <c r="D8" s="7" t="n">
        <f aca="false">Projections!H11</f>
        <v>5853.8364185664</v>
      </c>
      <c r="E8" s="7" t="n">
        <f aca="false">Projections!K11</f>
        <v>6212.13803807401</v>
      </c>
      <c r="F8" s="7" t="n">
        <f aca="false">Projections!N11</f>
        <v>6592.37058310845</v>
      </c>
      <c r="G8" s="7" t="n">
        <f aca="false">Projections!O11</f>
        <v>71110.8997385308</v>
      </c>
    </row>
    <row r="9" customFormat="false" ht="15" hidden="false" customHeight="true" outlineLevel="0" collapsed="false">
      <c r="A9" s="8" t="s">
        <v>13</v>
      </c>
      <c r="B9" s="7" t="n">
        <f aca="false">Projections!C26</f>
        <v>-2007.28</v>
      </c>
      <c r="C9" s="7" t="n">
        <f aca="false">Projections!E26</f>
        <v>-2037.268112</v>
      </c>
      <c r="D9" s="7" t="n">
        <f aca="false">Projections!H26</f>
        <v>-2084.5370985993</v>
      </c>
      <c r="E9" s="7" t="n">
        <f aca="false">Projections!K26</f>
        <v>-2134.69932533036</v>
      </c>
      <c r="F9" s="7" t="n">
        <f aca="false">Projections!N26</f>
        <v>-2187.93188163518</v>
      </c>
      <c r="G9" s="7" t="n">
        <f aca="false">Projections!O26</f>
        <v>-25135.5259633943</v>
      </c>
    </row>
    <row r="10" customFormat="false" ht="15" hidden="false" customHeight="true" outlineLevel="0" collapsed="false">
      <c r="A10" s="6" t="s">
        <v>14</v>
      </c>
      <c r="B10" s="7" t="n">
        <f aca="false">Projections!C27</f>
        <v>3294.72</v>
      </c>
      <c r="C10" s="7" t="n">
        <f aca="false">Projections!E27</f>
        <v>3478.932688</v>
      </c>
      <c r="D10" s="7" t="n">
        <f aca="false">Projections!H27</f>
        <v>3769.2993199671</v>
      </c>
      <c r="E10" s="7" t="n">
        <f aca="false">Projections!K27</f>
        <v>4077.43871274365</v>
      </c>
      <c r="F10" s="7" t="n">
        <f aca="false">Projections!N27</f>
        <v>4404.43870147326</v>
      </c>
      <c r="G10" s="7" t="n">
        <f aca="false">Projections!O27</f>
        <v>45975.3737751365</v>
      </c>
    </row>
    <row r="11" customFormat="false" ht="15" hidden="false" customHeight="true" outlineLevel="0" collapsed="false">
      <c r="A11" s="8" t="s">
        <v>15</v>
      </c>
      <c r="B11" s="7" t="n">
        <f aca="false">Projections!C31</f>
        <v>3294.72</v>
      </c>
      <c r="C11" s="7" t="n">
        <f aca="false">Projections!E31</f>
        <v>3478.932688</v>
      </c>
      <c r="D11" s="7" t="n">
        <f aca="false">Projections!H31</f>
        <v>3769.2993199671</v>
      </c>
      <c r="E11" s="7" t="n">
        <f aca="false">Projections!K31</f>
        <v>4077.43871274365</v>
      </c>
      <c r="F11" s="7" t="n">
        <f aca="false">Projections!N31</f>
        <v>4404.43870147326</v>
      </c>
      <c r="G11" s="7" t="n">
        <f aca="false">Projections!O31</f>
        <v>45975.3737751365</v>
      </c>
    </row>
    <row r="14" customFormat="false" ht="24" hidden="false" customHeight="true" outlineLevel="0" collapsed="false">
      <c r="A14" s="4" t="s">
        <v>16</v>
      </c>
      <c r="B14" s="4"/>
      <c r="C14" s="4"/>
      <c r="D14" s="4"/>
      <c r="E14" s="4"/>
      <c r="F14" s="4"/>
      <c r="G14" s="4"/>
    </row>
    <row r="15" customFormat="false" ht="15" hidden="false" customHeight="true" outlineLevel="0" collapsed="false">
      <c r="A15" s="5" t="s">
        <v>17</v>
      </c>
      <c r="B15" s="5" t="s">
        <v>18</v>
      </c>
      <c r="C15" s="5" t="s">
        <v>19</v>
      </c>
      <c r="D15" s="5" t="s">
        <v>20</v>
      </c>
      <c r="E15" s="5" t="s">
        <v>21</v>
      </c>
      <c r="F15" s="5" t="s">
        <v>22</v>
      </c>
      <c r="G15" s="5"/>
    </row>
    <row r="16" customFormat="false" ht="15" hidden="false" customHeight="true" outlineLevel="0" collapsed="false">
      <c r="A16" s="9" t="s">
        <v>23</v>
      </c>
      <c r="B16" s="10" t="n">
        <f aca="false">Assumptions!B13</f>
        <v>2</v>
      </c>
      <c r="C16" s="11" t="n">
        <f aca="false">Assumptions!C13</f>
        <v>1200</v>
      </c>
      <c r="D16" s="12" t="n">
        <f aca="false">Assumptions!D13</f>
        <v>0.95</v>
      </c>
      <c r="E16" s="13" t="n">
        <f aca="false">Assumptions!B13*Assumptions!C13*Assumptions!D13</f>
        <v>2280</v>
      </c>
      <c r="F16" s="14" t="n">
        <f aca="false">IF(SUM(E16:E18)=0,0,E16/SUM(E16:E18))</f>
        <v>0.315352697095436</v>
      </c>
    </row>
    <row r="17" customFormat="false" ht="15" hidden="false" customHeight="true" outlineLevel="0" collapsed="false">
      <c r="A17" s="15" t="s">
        <v>24</v>
      </c>
      <c r="B17" s="10" t="n">
        <f aca="false">Assumptions!B14</f>
        <v>1</v>
      </c>
      <c r="C17" s="11" t="n">
        <f aca="false">Assumptions!C14</f>
        <v>120</v>
      </c>
      <c r="D17" s="12" t="n">
        <f aca="false">Assumptions!D14</f>
        <v>0.7</v>
      </c>
      <c r="E17" s="13" t="n">
        <f aca="false">Assumptions!B14*Assumptions!C14*Assumptions!D14*30</f>
        <v>2520</v>
      </c>
      <c r="F17" s="14" t="n">
        <f aca="false">IF(SUM(E16:E18)=0,0,E17/SUM(E16:E18))</f>
        <v>0.348547717842324</v>
      </c>
    </row>
    <row r="18" customFormat="false" ht="15" hidden="false" customHeight="true" outlineLevel="0" collapsed="false">
      <c r="A18" s="9" t="s">
        <v>25</v>
      </c>
      <c r="B18" s="10" t="n">
        <f aca="false">Assumptions!B15</f>
        <v>3</v>
      </c>
      <c r="C18" s="11" t="n">
        <f aca="false">Assumptions!C15</f>
        <v>45</v>
      </c>
      <c r="D18" s="12" t="n">
        <f aca="false">Assumptions!D15</f>
        <v>0.6</v>
      </c>
      <c r="E18" s="13" t="n">
        <f aca="false">Assumptions!B15*Assumptions!C15*Assumptions!D15*30</f>
        <v>2430</v>
      </c>
      <c r="F18" s="14" t="n">
        <f aca="false">IF(SUM(E16:E18)=0,0,E18/SUM(E16:E18))</f>
        <v>0.336099585062241</v>
      </c>
    </row>
    <row r="19" customFormat="false" ht="15" hidden="false" customHeight="true" outlineLevel="0" collapsed="false">
      <c r="A19" s="16" t="s">
        <v>26</v>
      </c>
      <c r="E19" s="17" t="n">
        <f aca="false">SUM(E16:E18)</f>
        <v>7230</v>
      </c>
    </row>
    <row r="22" customFormat="false" ht="15" hidden="false" customHeight="true" outlineLevel="0" collapsed="false">
      <c r="A22" s="18" t="s">
        <v>27</v>
      </c>
      <c r="B22" s="18"/>
      <c r="C22" s="18"/>
      <c r="D22" s="18"/>
    </row>
    <row r="23" customFormat="false" ht="15" hidden="false" customHeight="true" outlineLevel="0" collapsed="false">
      <c r="A23" s="19" t="s">
        <v>28</v>
      </c>
      <c r="B23" s="20" t="s">
        <v>29</v>
      </c>
      <c r="C23" s="20"/>
      <c r="D23" s="20"/>
    </row>
    <row r="24" customFormat="false" ht="15" hidden="false" customHeight="true" outlineLevel="0" collapsed="false">
      <c r="A24" s="21" t="s">
        <v>30</v>
      </c>
      <c r="B24" s="20" t="s">
        <v>31</v>
      </c>
      <c r="C24" s="20"/>
      <c r="D24" s="20"/>
    </row>
    <row r="25" customFormat="false" ht="15" hidden="false" customHeight="true" outlineLevel="0" collapsed="false">
      <c r="A25" s="22" t="s">
        <v>32</v>
      </c>
      <c r="B25" s="20" t="s">
        <v>33</v>
      </c>
      <c r="C25" s="20"/>
      <c r="D25" s="20"/>
    </row>
  </sheetData>
  <mergeCells count="8">
    <mergeCell ref="A1:G1"/>
    <mergeCell ref="A2:G2"/>
    <mergeCell ref="A4:G4"/>
    <mergeCell ref="A14:G14"/>
    <mergeCell ref="A22:D22"/>
    <mergeCell ref="B23:D23"/>
    <mergeCell ref="B24:D24"/>
    <mergeCell ref="B25:D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2"/>
    <col collapsed="false" customWidth="true" hidden="false" outlineLevel="0" max="4" min="2" style="1" width="18"/>
    <col collapsed="false" customWidth="true" hidden="false" outlineLevel="0" max="5" min="5" style="1" width="35"/>
  </cols>
  <sheetData>
    <row r="1" customFormat="false" ht="36" hidden="false" customHeight="true" outlineLevel="0" collapsed="false">
      <c r="A1" s="23" t="s">
        <v>34</v>
      </c>
      <c r="B1" s="23"/>
      <c r="C1" s="23"/>
      <c r="D1" s="23"/>
      <c r="E1" s="23"/>
    </row>
    <row r="2" customFormat="false" ht="15" hidden="false" customHeight="true" outlineLevel="0" collapsed="false">
      <c r="A2" s="24" t="s">
        <v>35</v>
      </c>
      <c r="B2" s="24"/>
      <c r="C2" s="24"/>
      <c r="D2" s="24"/>
      <c r="E2" s="24"/>
    </row>
    <row r="4" customFormat="false" ht="15" hidden="false" customHeight="true" outlineLevel="0" collapsed="false">
      <c r="A4" s="4" t="s">
        <v>36</v>
      </c>
      <c r="B4" s="4"/>
      <c r="C4" s="4"/>
      <c r="D4" s="4"/>
      <c r="E4" s="4"/>
    </row>
    <row r="5" customFormat="false" ht="15" hidden="false" customHeight="true" outlineLevel="0" collapsed="false">
      <c r="A5" s="5" t="s">
        <v>37</v>
      </c>
      <c r="B5" s="5" t="s">
        <v>38</v>
      </c>
      <c r="C5" s="5"/>
      <c r="D5" s="5"/>
      <c r="E5" s="5" t="s">
        <v>39</v>
      </c>
    </row>
    <row r="6" customFormat="false" ht="15" hidden="false" customHeight="true" outlineLevel="0" collapsed="false">
      <c r="A6" s="9" t="s">
        <v>40</v>
      </c>
      <c r="B6" s="25" t="n">
        <v>1</v>
      </c>
      <c r="C6" s="26"/>
      <c r="D6" s="26"/>
      <c r="E6" s="9" t="s">
        <v>41</v>
      </c>
    </row>
    <row r="7" customFormat="false" ht="15" hidden="false" customHeight="true" outlineLevel="0" collapsed="false">
      <c r="A7" s="15" t="s">
        <v>42</v>
      </c>
      <c r="B7" s="25" t="n">
        <v>12</v>
      </c>
      <c r="C7" s="27"/>
      <c r="D7" s="27"/>
      <c r="E7" s="15" t="s">
        <v>43</v>
      </c>
    </row>
    <row r="8" customFormat="false" ht="15" hidden="false" customHeight="true" outlineLevel="0" collapsed="false">
      <c r="A8" s="9" t="s">
        <v>44</v>
      </c>
      <c r="B8" s="25" t="s">
        <v>45</v>
      </c>
      <c r="C8" s="26"/>
      <c r="D8" s="26"/>
      <c r="E8" s="9" t="s">
        <v>46</v>
      </c>
    </row>
    <row r="11" customFormat="false" ht="15" hidden="false" customHeight="true" outlineLevel="0" collapsed="false">
      <c r="A11" s="4" t="s">
        <v>47</v>
      </c>
      <c r="B11" s="4"/>
      <c r="C11" s="4"/>
      <c r="D11" s="4"/>
      <c r="E11" s="4"/>
    </row>
    <row r="12" customFormat="false" ht="15" hidden="false" customHeight="true" outlineLevel="0" collapsed="false">
      <c r="A12" s="5" t="s">
        <v>17</v>
      </c>
      <c r="B12" s="5" t="s">
        <v>48</v>
      </c>
      <c r="C12" s="5" t="s">
        <v>49</v>
      </c>
      <c r="D12" s="5" t="s">
        <v>50</v>
      </c>
      <c r="E12" s="5" t="s">
        <v>39</v>
      </c>
    </row>
    <row r="13" customFormat="false" ht="15" hidden="false" customHeight="true" outlineLevel="0" collapsed="false">
      <c r="A13" s="9" t="s">
        <v>51</v>
      </c>
      <c r="B13" s="28" t="n">
        <v>2</v>
      </c>
      <c r="C13" s="29" t="n">
        <v>1200</v>
      </c>
      <c r="D13" s="30" t="n">
        <v>0.95</v>
      </c>
      <c r="E13" s="9" t="s">
        <v>52</v>
      </c>
    </row>
    <row r="14" customFormat="false" ht="15" hidden="false" customHeight="true" outlineLevel="0" collapsed="false">
      <c r="A14" s="15" t="s">
        <v>53</v>
      </c>
      <c r="B14" s="28" t="n">
        <v>1</v>
      </c>
      <c r="C14" s="29" t="n">
        <v>120</v>
      </c>
      <c r="D14" s="30" t="n">
        <v>0.7</v>
      </c>
      <c r="E14" s="15" t="s">
        <v>54</v>
      </c>
    </row>
    <row r="15" customFormat="false" ht="15" hidden="false" customHeight="true" outlineLevel="0" collapsed="false">
      <c r="A15" s="9" t="s">
        <v>55</v>
      </c>
      <c r="B15" s="28" t="n">
        <v>3</v>
      </c>
      <c r="C15" s="29" t="n">
        <v>45</v>
      </c>
      <c r="D15" s="30" t="n">
        <v>0.6</v>
      </c>
      <c r="E15" s="9" t="s">
        <v>56</v>
      </c>
    </row>
    <row r="18" customFormat="false" ht="15" hidden="false" customHeight="true" outlineLevel="0" collapsed="false">
      <c r="A18" s="4" t="s">
        <v>57</v>
      </c>
      <c r="B18" s="4"/>
      <c r="C18" s="4"/>
      <c r="D18" s="4"/>
      <c r="E18" s="4"/>
    </row>
    <row r="19" customFormat="false" ht="15" hidden="false" customHeight="true" outlineLevel="0" collapsed="false">
      <c r="A19" s="5" t="s">
        <v>58</v>
      </c>
      <c r="B19" s="5" t="s">
        <v>38</v>
      </c>
      <c r="C19" s="5"/>
      <c r="D19" s="5"/>
      <c r="E19" s="5" t="s">
        <v>39</v>
      </c>
    </row>
    <row r="20" customFormat="false" ht="15" hidden="false" customHeight="true" outlineLevel="0" collapsed="false">
      <c r="A20" s="9" t="s">
        <v>59</v>
      </c>
      <c r="B20" s="30" t="n">
        <v>0.02</v>
      </c>
      <c r="C20" s="26"/>
      <c r="D20" s="26"/>
      <c r="E20" s="9" t="s">
        <v>60</v>
      </c>
    </row>
    <row r="21" customFormat="false" ht="15" hidden="false" customHeight="true" outlineLevel="0" collapsed="false">
      <c r="A21" s="15" t="s">
        <v>61</v>
      </c>
      <c r="B21" s="30" t="n">
        <v>0.05</v>
      </c>
      <c r="C21" s="27"/>
      <c r="D21" s="27"/>
      <c r="E21" s="15" t="s">
        <v>62</v>
      </c>
    </row>
    <row r="22" customFormat="false" ht="15" hidden="false" customHeight="true" outlineLevel="0" collapsed="false">
      <c r="A22" s="9" t="s">
        <v>63</v>
      </c>
      <c r="B22" s="30" t="n">
        <v>0.3</v>
      </c>
      <c r="C22" s="26"/>
      <c r="D22" s="26"/>
      <c r="E22" s="9" t="s">
        <v>64</v>
      </c>
    </row>
    <row r="23" customFormat="false" ht="15" hidden="false" customHeight="true" outlineLevel="0" collapsed="false">
      <c r="A23" s="15" t="s">
        <v>65</v>
      </c>
      <c r="B23" s="30" t="n">
        <v>0.4</v>
      </c>
      <c r="C23" s="27"/>
      <c r="D23" s="27"/>
      <c r="E23" s="15" t="s">
        <v>66</v>
      </c>
    </row>
    <row r="24" customFormat="false" ht="15" hidden="false" customHeight="true" outlineLevel="0" collapsed="false">
      <c r="A24" s="9" t="s">
        <v>67</v>
      </c>
      <c r="B24" s="28" t="n">
        <v>1</v>
      </c>
      <c r="C24" s="26"/>
      <c r="D24" s="26"/>
      <c r="E24" s="9" t="s">
        <v>68</v>
      </c>
    </row>
    <row r="27" customFormat="false" ht="15" hidden="false" customHeight="true" outlineLevel="0" collapsed="false">
      <c r="A27" s="4" t="s">
        <v>69</v>
      </c>
      <c r="B27" s="4"/>
      <c r="C27" s="4"/>
      <c r="D27" s="4"/>
      <c r="E27" s="4"/>
    </row>
    <row r="28" customFormat="false" ht="15" hidden="false" customHeight="true" outlineLevel="0" collapsed="false">
      <c r="A28" s="5" t="s">
        <v>70</v>
      </c>
      <c r="B28" s="5" t="s">
        <v>71</v>
      </c>
      <c r="C28" s="5" t="s">
        <v>72</v>
      </c>
      <c r="D28" s="5"/>
      <c r="E28" s="5" t="s">
        <v>39</v>
      </c>
    </row>
    <row r="29" customFormat="false" ht="15" hidden="false" customHeight="true" outlineLevel="0" collapsed="false">
      <c r="A29" s="9" t="s">
        <v>73</v>
      </c>
      <c r="B29" s="29" t="n">
        <v>800</v>
      </c>
      <c r="C29" s="9" t="s">
        <v>74</v>
      </c>
      <c r="D29" s="26"/>
      <c r="E29" s="9" t="s">
        <v>75</v>
      </c>
    </row>
    <row r="30" customFormat="false" ht="15" hidden="false" customHeight="true" outlineLevel="0" collapsed="false">
      <c r="A30" s="15" t="s">
        <v>76</v>
      </c>
      <c r="B30" s="29" t="n">
        <v>150</v>
      </c>
      <c r="C30" s="15" t="s">
        <v>74</v>
      </c>
      <c r="D30" s="27"/>
      <c r="E30" s="15" t="s">
        <v>77</v>
      </c>
    </row>
    <row r="31" customFormat="false" ht="15" hidden="false" customHeight="true" outlineLevel="0" collapsed="false">
      <c r="A31" s="9" t="s">
        <v>78</v>
      </c>
      <c r="B31" s="29" t="n">
        <v>80</v>
      </c>
      <c r="C31" s="9" t="s">
        <v>74</v>
      </c>
      <c r="D31" s="26"/>
      <c r="E31" s="9" t="s">
        <v>79</v>
      </c>
    </row>
    <row r="32" customFormat="false" ht="15" hidden="false" customHeight="true" outlineLevel="0" collapsed="false">
      <c r="A32" s="15" t="s">
        <v>80</v>
      </c>
      <c r="B32" s="30" t="n">
        <v>0.01</v>
      </c>
      <c r="C32" s="15" t="s">
        <v>81</v>
      </c>
      <c r="D32" s="27"/>
      <c r="E32" s="15" t="s">
        <v>82</v>
      </c>
    </row>
    <row r="33" customFormat="false" ht="15" hidden="false" customHeight="true" outlineLevel="0" collapsed="false">
      <c r="A33" s="9" t="s">
        <v>83</v>
      </c>
      <c r="B33" s="30" t="n">
        <v>0.1</v>
      </c>
      <c r="C33" s="9" t="s">
        <v>81</v>
      </c>
      <c r="D33" s="26"/>
      <c r="E33" s="9" t="s">
        <v>84</v>
      </c>
    </row>
    <row r="34" customFormat="false" ht="15" hidden="false" customHeight="true" outlineLevel="0" collapsed="false">
      <c r="A34" s="15" t="s">
        <v>85</v>
      </c>
      <c r="B34" s="29" t="n">
        <v>50</v>
      </c>
      <c r="C34" s="15" t="s">
        <v>74</v>
      </c>
      <c r="D34" s="27"/>
      <c r="E34" s="15" t="s">
        <v>86</v>
      </c>
    </row>
    <row r="35" customFormat="false" ht="15" hidden="false" customHeight="true" outlineLevel="0" collapsed="false">
      <c r="A35" s="9" t="s">
        <v>87</v>
      </c>
      <c r="B35" s="30" t="n">
        <v>0.03</v>
      </c>
      <c r="C35" s="9" t="s">
        <v>81</v>
      </c>
      <c r="D35" s="26"/>
      <c r="E35" s="9" t="s">
        <v>88</v>
      </c>
    </row>
    <row r="36" customFormat="false" ht="15" hidden="false" customHeight="true" outlineLevel="0" collapsed="false">
      <c r="A36" s="15" t="s">
        <v>89</v>
      </c>
      <c r="B36" s="29" t="n">
        <v>75</v>
      </c>
      <c r="C36" s="15" t="s">
        <v>74</v>
      </c>
      <c r="D36" s="27"/>
      <c r="E36" s="15" t="s">
        <v>90</v>
      </c>
    </row>
    <row r="37" customFormat="false" ht="15" hidden="false" customHeight="true" outlineLevel="0" collapsed="false">
      <c r="A37" s="9" t="s">
        <v>91</v>
      </c>
      <c r="B37" s="29" t="n">
        <v>30</v>
      </c>
      <c r="C37" s="9" t="s">
        <v>74</v>
      </c>
      <c r="D37" s="26"/>
      <c r="E37" s="9" t="s">
        <v>92</v>
      </c>
    </row>
    <row r="38" customFormat="false" ht="15" hidden="false" customHeight="true" outlineLevel="0" collapsed="false">
      <c r="A38" s="15" t="s">
        <v>93</v>
      </c>
      <c r="B38" s="29" t="n">
        <v>25</v>
      </c>
      <c r="C38" s="15" t="s">
        <v>74</v>
      </c>
      <c r="D38" s="27"/>
      <c r="E38" s="15" t="s">
        <v>94</v>
      </c>
    </row>
    <row r="39" customFormat="false" ht="15" hidden="false" customHeight="true" outlineLevel="0" collapsed="false">
      <c r="A39" s="9" t="s">
        <v>95</v>
      </c>
      <c r="B39" s="29" t="n">
        <v>15</v>
      </c>
      <c r="C39" s="9" t="s">
        <v>74</v>
      </c>
      <c r="D39" s="26"/>
      <c r="E39" s="9" t="s">
        <v>96</v>
      </c>
    </row>
    <row r="40" customFormat="false" ht="15" hidden="false" customHeight="true" outlineLevel="0" collapsed="false">
      <c r="A40" s="15" t="s">
        <v>97</v>
      </c>
      <c r="B40" s="29" t="n">
        <v>40</v>
      </c>
      <c r="C40" s="15" t="s">
        <v>74</v>
      </c>
      <c r="D40" s="27"/>
      <c r="E40" s="15" t="s">
        <v>98</v>
      </c>
    </row>
    <row r="43" customFormat="false" ht="15" hidden="false" customHeight="true" outlineLevel="0" collapsed="false">
      <c r="A43" s="4" t="s">
        <v>99</v>
      </c>
      <c r="B43" s="4"/>
      <c r="C43" s="4"/>
      <c r="D43" s="4"/>
      <c r="E43" s="4"/>
    </row>
    <row r="44" customFormat="false" ht="15" hidden="false" customHeight="true" outlineLevel="0" collapsed="false">
      <c r="A44" s="5" t="s">
        <v>100</v>
      </c>
      <c r="B44" s="5" t="s">
        <v>38</v>
      </c>
      <c r="C44" s="5"/>
      <c r="D44" s="5"/>
      <c r="E44" s="5" t="s">
        <v>39</v>
      </c>
    </row>
    <row r="45" customFormat="false" ht="15" hidden="false" customHeight="true" outlineLevel="0" collapsed="false">
      <c r="A45" s="9" t="s">
        <v>101</v>
      </c>
      <c r="B45" s="29" t="n">
        <v>0</v>
      </c>
      <c r="C45" s="26"/>
      <c r="D45" s="26"/>
      <c r="E45" s="9" t="s">
        <v>102</v>
      </c>
    </row>
    <row r="46" customFormat="false" ht="15" hidden="false" customHeight="true" outlineLevel="0" collapsed="false">
      <c r="A46" s="15" t="s">
        <v>103</v>
      </c>
      <c r="B46" s="30" t="n">
        <v>0.065</v>
      </c>
      <c r="C46" s="27"/>
      <c r="D46" s="27"/>
      <c r="E46" s="15" t="s">
        <v>104</v>
      </c>
    </row>
    <row r="47" customFormat="false" ht="15" hidden="false" customHeight="true" outlineLevel="0" collapsed="false">
      <c r="A47" s="9" t="s">
        <v>105</v>
      </c>
      <c r="B47" s="28" t="n">
        <v>360</v>
      </c>
      <c r="C47" s="26"/>
      <c r="D47" s="26"/>
      <c r="E47" s="9" t="s">
        <v>106</v>
      </c>
    </row>
    <row r="48" customFormat="false" ht="15" hidden="false" customHeight="true" outlineLevel="0" collapsed="false">
      <c r="A48" s="6" t="s">
        <v>107</v>
      </c>
      <c r="B48" s="31" t="n">
        <f aca="false">IF(B45=0,0,IF(B46=0,B45/B47,B45*(B46/12)/((1-(1+(B46/12))^(-B47)))))</f>
        <v>0</v>
      </c>
      <c r="E48" s="9" t="s">
        <v>108</v>
      </c>
    </row>
  </sheetData>
  <mergeCells count="7">
    <mergeCell ref="A1:E1"/>
    <mergeCell ref="A2:E2"/>
    <mergeCell ref="A4:E4"/>
    <mergeCell ref="A11:E11"/>
    <mergeCell ref="A18:E18"/>
    <mergeCell ref="A27:E27"/>
    <mergeCell ref="A43:E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0"/>
    <col collapsed="false" customWidth="true" hidden="false" outlineLevel="0" max="2" min="2" style="1" width="14"/>
    <col collapsed="false" customWidth="true" hidden="false" outlineLevel="0" max="16" min="3" style="1" width="13"/>
  </cols>
  <sheetData>
    <row r="1" customFormat="false" ht="36" hidden="false" customHeight="true" outlineLevel="0" collapsed="false">
      <c r="A1" s="23" t="s">
        <v>109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3" customFormat="false" ht="15" hidden="false" customHeight="true" outlineLevel="0" collapsed="false">
      <c r="A3" s="5" t="s">
        <v>110</v>
      </c>
      <c r="B3" s="5" t="s">
        <v>39</v>
      </c>
      <c r="C3" s="5" t="s">
        <v>111</v>
      </c>
      <c r="D3" s="5" t="s">
        <v>112</v>
      </c>
      <c r="E3" s="5" t="s">
        <v>113</v>
      </c>
      <c r="F3" s="5" t="s">
        <v>114</v>
      </c>
      <c r="G3" s="5" t="s">
        <v>115</v>
      </c>
      <c r="H3" s="5" t="s">
        <v>116</v>
      </c>
      <c r="I3" s="5" t="s">
        <v>117</v>
      </c>
      <c r="J3" s="5" t="s">
        <v>118</v>
      </c>
      <c r="K3" s="5" t="s">
        <v>119</v>
      </c>
      <c r="L3" s="5" t="s">
        <v>120</v>
      </c>
      <c r="M3" s="5" t="s">
        <v>121</v>
      </c>
      <c r="N3" s="5" t="s">
        <v>122</v>
      </c>
      <c r="O3" s="32" t="s">
        <v>9</v>
      </c>
    </row>
    <row r="4" customFormat="false" ht="15" hidden="false" customHeight="true" outlineLevel="0" collapsed="false">
      <c r="A4" s="33" t="s">
        <v>123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customFormat="false" ht="15" hidden="false" customHeight="true" outlineLevel="0" collapsed="false">
      <c r="A5" s="9" t="s">
        <v>124</v>
      </c>
      <c r="B5" s="9" t="s">
        <v>125</v>
      </c>
      <c r="C5" s="13" t="n">
        <f aca="false">Assumptions!$B$13*Assumptions!$C$13*Assumptions!$D$13</f>
        <v>2280</v>
      </c>
      <c r="D5" s="13" t="n">
        <f aca="false">Assumptions!$B$13*Assumptions!$C$13*Assumptions!$D$13*(1+Assumptions!$B$20)^1</f>
        <v>2325.6</v>
      </c>
      <c r="E5" s="13" t="n">
        <f aca="false">Assumptions!$B$13*Assumptions!$C$13*Assumptions!$D$13*(1+Assumptions!$B$20)^2</f>
        <v>2372.112</v>
      </c>
      <c r="F5" s="13" t="n">
        <f aca="false">Assumptions!$B$13*Assumptions!$C$13*Assumptions!$D$13*(1+Assumptions!$B$20)^3</f>
        <v>2419.55424</v>
      </c>
      <c r="G5" s="13" t="n">
        <f aca="false">Assumptions!$B$13*Assumptions!$C$13*Assumptions!$D$13*(1+Assumptions!$B$20)^4</f>
        <v>2467.9453248</v>
      </c>
      <c r="H5" s="13" t="n">
        <f aca="false">Assumptions!$B$13*Assumptions!$C$13*Assumptions!$D$13*(1+Assumptions!$B$20)^5</f>
        <v>2517.304231296</v>
      </c>
      <c r="I5" s="13" t="n">
        <f aca="false">Assumptions!$B$13*Assumptions!$C$13*Assumptions!$D$13*(1+Assumptions!$B$20)^6</f>
        <v>2567.65031592192</v>
      </c>
      <c r="J5" s="13" t="n">
        <f aca="false">Assumptions!$B$13*Assumptions!$C$13*Assumptions!$D$13*(1+Assumptions!$B$20)^7</f>
        <v>2619.00332224036</v>
      </c>
      <c r="K5" s="13" t="n">
        <f aca="false">Assumptions!$B$13*Assumptions!$C$13*Assumptions!$D$13*(1+Assumptions!$B$20)^8</f>
        <v>2671.38338868517</v>
      </c>
      <c r="L5" s="13" t="n">
        <f aca="false">Assumptions!$B$13*Assumptions!$C$13*Assumptions!$D$13*(1+Assumptions!$B$20)^9</f>
        <v>2724.81105645887</v>
      </c>
      <c r="M5" s="13" t="n">
        <f aca="false">Assumptions!$B$13*Assumptions!$C$13*Assumptions!$D$13*(1+Assumptions!$B$20)^10</f>
        <v>2779.30727758805</v>
      </c>
      <c r="N5" s="13" t="n">
        <f aca="false">Assumptions!$B$13*Assumptions!$C$13*Assumptions!$D$13*(1+Assumptions!$B$20)^11</f>
        <v>2834.89342313981</v>
      </c>
      <c r="O5" s="17" t="n">
        <f aca="false">SUM(C5:N5)</f>
        <v>30579.5645801302</v>
      </c>
    </row>
    <row r="6" customFormat="false" ht="15" hidden="false" customHeight="true" outlineLevel="0" collapsed="false">
      <c r="A6" s="15" t="s">
        <v>126</v>
      </c>
      <c r="B6" s="15" t="s">
        <v>127</v>
      </c>
      <c r="C6" s="13" t="n">
        <f aca="false">Assumptions!$B$14*Assumptions!$C$14*Assumptions!$D$14*30</f>
        <v>2520</v>
      </c>
      <c r="D6" s="13" t="n">
        <f aca="false">Assumptions!$B$14*Assumptions!$C$14*Assumptions!$D$14*30*(1+Assumptions!$B$20)^1</f>
        <v>2570.4</v>
      </c>
      <c r="E6" s="13" t="n">
        <f aca="false">Assumptions!$B$14*Assumptions!$C$14*Assumptions!$D$14*30*(1+Assumptions!$B$20)^2</f>
        <v>2621.808</v>
      </c>
      <c r="F6" s="13" t="n">
        <f aca="false">Assumptions!$B$14*Assumptions!$C$14*Assumptions!$D$14*30*(1+Assumptions!$B$20)^3</f>
        <v>2674.24416</v>
      </c>
      <c r="G6" s="13" t="n">
        <f aca="false">Assumptions!$B$14*Assumptions!$C$14*Assumptions!$D$14*30*(1+Assumptions!$B$20)^4</f>
        <v>2727.7290432</v>
      </c>
      <c r="H6" s="13" t="n">
        <f aca="false">Assumptions!$B$14*Assumptions!$C$14*Assumptions!$D$14*30*(1+Assumptions!$B$20)^5</f>
        <v>2782.283624064</v>
      </c>
      <c r="I6" s="13" t="n">
        <f aca="false">Assumptions!$B$14*Assumptions!$C$14*Assumptions!$D$14*30*(1+Assumptions!$B$20)^6</f>
        <v>2837.92929654528</v>
      </c>
      <c r="J6" s="13" t="n">
        <f aca="false">Assumptions!$B$14*Assumptions!$C$14*Assumptions!$D$14*30*(1+Assumptions!$B$20)^7</f>
        <v>2894.68788247619</v>
      </c>
      <c r="K6" s="13" t="n">
        <f aca="false">Assumptions!$B$14*Assumptions!$C$14*Assumptions!$D$14*30*(1+Assumptions!$B$20)^8</f>
        <v>2952.58164012571</v>
      </c>
      <c r="L6" s="13" t="n">
        <f aca="false">Assumptions!$B$14*Assumptions!$C$14*Assumptions!$D$14*30*(1+Assumptions!$B$20)^9</f>
        <v>3011.63327292822</v>
      </c>
      <c r="M6" s="13" t="n">
        <f aca="false">Assumptions!$B$14*Assumptions!$C$14*Assumptions!$D$14*30*(1+Assumptions!$B$20)^10</f>
        <v>3071.86593838679</v>
      </c>
      <c r="N6" s="13" t="n">
        <f aca="false">Assumptions!$B$14*Assumptions!$C$14*Assumptions!$D$14*30*(1+Assumptions!$B$20)^11</f>
        <v>3133.30325715452</v>
      </c>
      <c r="O6" s="17" t="n">
        <f aca="false">SUM(C6:N6)</f>
        <v>33798.4661148807</v>
      </c>
    </row>
    <row r="7" customFormat="false" ht="15" hidden="false" customHeight="true" outlineLevel="0" collapsed="false">
      <c r="A7" s="9" t="s">
        <v>128</v>
      </c>
      <c r="B7" s="9" t="s">
        <v>127</v>
      </c>
      <c r="C7" s="13" t="n">
        <f aca="false">Assumptions!$B$15*Assumptions!$C$15*Assumptions!$D$15*30</f>
        <v>2430</v>
      </c>
      <c r="D7" s="13" t="n">
        <f aca="false">Assumptions!$B$15*Assumptions!$C$15*Assumptions!$D$15*30*(1+Assumptions!$B$20)^1</f>
        <v>2478.6</v>
      </c>
      <c r="E7" s="13" t="n">
        <f aca="false">Assumptions!$B$15*Assumptions!$C$15*Assumptions!$D$15*30*(1+Assumptions!$B$20)^2</f>
        <v>2528.172</v>
      </c>
      <c r="F7" s="13" t="n">
        <f aca="false">Assumptions!$B$15*Assumptions!$C$15*Assumptions!$D$15*30*(1+Assumptions!$B$20)^3</f>
        <v>2578.73544</v>
      </c>
      <c r="G7" s="13" t="n">
        <f aca="false">Assumptions!$B$15*Assumptions!$C$15*Assumptions!$D$15*30*(1+Assumptions!$B$20)^4</f>
        <v>2630.3101488</v>
      </c>
      <c r="H7" s="13" t="n">
        <f aca="false">Assumptions!$B$15*Assumptions!$C$15*Assumptions!$D$15*30*(1+Assumptions!$B$20)^5</f>
        <v>2682.916351776</v>
      </c>
      <c r="I7" s="13" t="n">
        <f aca="false">Assumptions!$B$15*Assumptions!$C$15*Assumptions!$D$15*30*(1+Assumptions!$B$20)^6</f>
        <v>2736.57467881152</v>
      </c>
      <c r="J7" s="13" t="n">
        <f aca="false">Assumptions!$B$15*Assumptions!$C$15*Assumptions!$D$15*30*(1+Assumptions!$B$20)^7</f>
        <v>2791.30617238775</v>
      </c>
      <c r="K7" s="13" t="n">
        <f aca="false">Assumptions!$B$15*Assumptions!$C$15*Assumptions!$D$15*30*(1+Assumptions!$B$20)^8</f>
        <v>2847.13229583551</v>
      </c>
      <c r="L7" s="13" t="n">
        <f aca="false">Assumptions!$B$15*Assumptions!$C$15*Assumptions!$D$15*30*(1+Assumptions!$B$20)^9</f>
        <v>2904.07494175222</v>
      </c>
      <c r="M7" s="13" t="n">
        <f aca="false">Assumptions!$B$15*Assumptions!$C$15*Assumptions!$D$15*30*(1+Assumptions!$B$20)^10</f>
        <v>2962.15644058726</v>
      </c>
      <c r="N7" s="13" t="n">
        <f aca="false">Assumptions!$B$15*Assumptions!$C$15*Assumptions!$D$15*30*(1+Assumptions!$B$20)^11</f>
        <v>3021.39956939901</v>
      </c>
      <c r="O7" s="17" t="n">
        <f aca="false">SUM(C7:N7)</f>
        <v>32591.3780393493</v>
      </c>
    </row>
    <row r="8" customFormat="false" ht="15" hidden="false" customHeight="true" outlineLevel="0" collapsed="false">
      <c r="A8" s="15" t="s">
        <v>129</v>
      </c>
      <c r="B8" s="15" t="s">
        <v>130</v>
      </c>
      <c r="C8" s="34" t="n">
        <v>0</v>
      </c>
      <c r="D8" s="34" t="n">
        <v>0</v>
      </c>
      <c r="E8" s="34" t="n">
        <v>0</v>
      </c>
      <c r="F8" s="34" t="n">
        <v>0</v>
      </c>
      <c r="G8" s="34" t="n">
        <v>0</v>
      </c>
      <c r="H8" s="34" t="n">
        <v>0</v>
      </c>
      <c r="I8" s="34" t="n">
        <v>0</v>
      </c>
      <c r="J8" s="34" t="n">
        <v>0</v>
      </c>
      <c r="K8" s="34" t="n">
        <v>0</v>
      </c>
      <c r="L8" s="34" t="n">
        <v>0</v>
      </c>
      <c r="M8" s="34" t="n">
        <v>0</v>
      </c>
      <c r="N8" s="34" t="n">
        <v>0</v>
      </c>
      <c r="O8" s="17" t="n">
        <f aca="false">SUM(C8:N8)</f>
        <v>0</v>
      </c>
    </row>
    <row r="9" customFormat="false" ht="15" hidden="false" customHeight="true" outlineLevel="0" collapsed="false">
      <c r="A9" s="35" t="s">
        <v>10</v>
      </c>
      <c r="B9" s="36"/>
      <c r="C9" s="17" t="n">
        <f aca="false">SUM(C5:C8)</f>
        <v>7230</v>
      </c>
      <c r="D9" s="17" t="n">
        <f aca="false">SUM(D5:D8)</f>
        <v>7374.6</v>
      </c>
      <c r="E9" s="17" t="n">
        <f aca="false">SUM(E5:E8)</f>
        <v>7522.092</v>
      </c>
      <c r="F9" s="17" t="n">
        <f aca="false">SUM(F5:F8)</f>
        <v>7672.53384</v>
      </c>
      <c r="G9" s="17" t="n">
        <f aca="false">SUM(G5:G8)</f>
        <v>7825.9845168</v>
      </c>
      <c r="H9" s="17" t="n">
        <f aca="false">SUM(H5:H8)</f>
        <v>7982.504207136</v>
      </c>
      <c r="I9" s="17" t="n">
        <f aca="false">SUM(I5:I8)</f>
        <v>8142.15429127872</v>
      </c>
      <c r="J9" s="17" t="n">
        <f aca="false">SUM(J5:J8)</f>
        <v>8304.9973771043</v>
      </c>
      <c r="K9" s="17" t="n">
        <f aca="false">SUM(K5:K8)</f>
        <v>8471.09732464638</v>
      </c>
      <c r="L9" s="17" t="n">
        <f aca="false">SUM(L5:L8)</f>
        <v>8640.51927113931</v>
      </c>
      <c r="M9" s="17" t="n">
        <f aca="false">SUM(M5:M8)</f>
        <v>8813.3296565621</v>
      </c>
      <c r="N9" s="17" t="n">
        <f aca="false">SUM(N5:N8)</f>
        <v>8989.59624969334</v>
      </c>
      <c r="O9" s="17" t="n">
        <f aca="false">SUM(C9:N9)</f>
        <v>96969.4087343601</v>
      </c>
    </row>
    <row r="10" customFormat="false" ht="15" hidden="false" customHeight="true" outlineLevel="0" collapsed="false">
      <c r="A10" s="15" t="s">
        <v>131</v>
      </c>
      <c r="B10" s="15" t="s">
        <v>132</v>
      </c>
      <c r="C10" s="13" t="n">
        <f aca="false">-(C9*(Assumptions!$B$21*Assumptions!$B$13/MAX(Assumptions!$B$13+Assumptions!$B$14+Assumptions!$B$15,1)+Assumptions!$B$22*Assumptions!$B$14/MAX(Assumptions!$B$13+Assumptions!$B$14+Assumptions!$B$15,1)+Assumptions!$B$23*Assumptions!$B$15/MAX(Assumptions!$B$13+Assumptions!$B$14+Assumptions!$B$15,1)))</f>
        <v>-1928</v>
      </c>
      <c r="D10" s="13" t="n">
        <f aca="false">-(D9*(Assumptions!$B$21*Assumptions!$B$13/MAX(Assumptions!$B$13+Assumptions!$B$14+Assumptions!$B$15,1)+Assumptions!$B$22*Assumptions!$B$14/MAX(Assumptions!$B$13+Assumptions!$B$14+Assumptions!$B$15,1)+Assumptions!$B$23*Assumptions!$B$15/MAX(Assumptions!$B$13+Assumptions!$B$14+Assumptions!$B$15,1)))</f>
        <v>-1966.56</v>
      </c>
      <c r="E10" s="13" t="n">
        <f aca="false">-(E9*(Assumptions!$B$21*Assumptions!$B$13/MAX(Assumptions!$B$13+Assumptions!$B$14+Assumptions!$B$15,1)+Assumptions!$B$22*Assumptions!$B$14/MAX(Assumptions!$B$13+Assumptions!$B$14+Assumptions!$B$15,1)+Assumptions!$B$23*Assumptions!$B$15/MAX(Assumptions!$B$13+Assumptions!$B$14+Assumptions!$B$15,1)))</f>
        <v>-2005.8912</v>
      </c>
      <c r="F10" s="13" t="n">
        <f aca="false">-(F9*(Assumptions!$B$21*Assumptions!$B$13/MAX(Assumptions!$B$13+Assumptions!$B$14+Assumptions!$B$15,1)+Assumptions!$B$22*Assumptions!$B$14/MAX(Assumptions!$B$13+Assumptions!$B$14+Assumptions!$B$15,1)+Assumptions!$B$23*Assumptions!$B$15/MAX(Assumptions!$B$13+Assumptions!$B$14+Assumptions!$B$15,1)))</f>
        <v>-2046.009024</v>
      </c>
      <c r="G10" s="13" t="n">
        <f aca="false">-(G9*(Assumptions!$B$21*Assumptions!$B$13/MAX(Assumptions!$B$13+Assumptions!$B$14+Assumptions!$B$15,1)+Assumptions!$B$22*Assumptions!$B$14/MAX(Assumptions!$B$13+Assumptions!$B$14+Assumptions!$B$15,1)+Assumptions!$B$23*Assumptions!$B$15/MAX(Assumptions!$B$13+Assumptions!$B$14+Assumptions!$B$15,1)))</f>
        <v>-2086.92920448</v>
      </c>
      <c r="H10" s="13" t="n">
        <f aca="false">-(H9*(Assumptions!$B$21*Assumptions!$B$13/MAX(Assumptions!$B$13+Assumptions!$B$14+Assumptions!$B$15,1)+Assumptions!$B$22*Assumptions!$B$14/MAX(Assumptions!$B$13+Assumptions!$B$14+Assumptions!$B$15,1)+Assumptions!$B$23*Assumptions!$B$15/MAX(Assumptions!$B$13+Assumptions!$B$14+Assumptions!$B$15,1)))</f>
        <v>-2128.6677885696</v>
      </c>
      <c r="I10" s="13" t="n">
        <f aca="false">-(I9*(Assumptions!$B$21*Assumptions!$B$13/MAX(Assumptions!$B$13+Assumptions!$B$14+Assumptions!$B$15,1)+Assumptions!$B$22*Assumptions!$B$14/MAX(Assumptions!$B$13+Assumptions!$B$14+Assumptions!$B$15,1)+Assumptions!$B$23*Assumptions!$B$15/MAX(Assumptions!$B$13+Assumptions!$B$14+Assumptions!$B$15,1)))</f>
        <v>-2171.24114434099</v>
      </c>
      <c r="J10" s="13" t="n">
        <f aca="false">-(J9*(Assumptions!$B$21*Assumptions!$B$13/MAX(Assumptions!$B$13+Assumptions!$B$14+Assumptions!$B$15,1)+Assumptions!$B$22*Assumptions!$B$14/MAX(Assumptions!$B$13+Assumptions!$B$14+Assumptions!$B$15,1)+Assumptions!$B$23*Assumptions!$B$15/MAX(Assumptions!$B$13+Assumptions!$B$14+Assumptions!$B$15,1)))</f>
        <v>-2214.66596722781</v>
      </c>
      <c r="K10" s="13" t="n">
        <f aca="false">-(K9*(Assumptions!$B$21*Assumptions!$B$13/MAX(Assumptions!$B$13+Assumptions!$B$14+Assumptions!$B$15,1)+Assumptions!$B$22*Assumptions!$B$14/MAX(Assumptions!$B$13+Assumptions!$B$14+Assumptions!$B$15,1)+Assumptions!$B$23*Assumptions!$B$15/MAX(Assumptions!$B$13+Assumptions!$B$14+Assumptions!$B$15,1)))</f>
        <v>-2258.95928657237</v>
      </c>
      <c r="L10" s="13" t="n">
        <f aca="false">-(L9*(Assumptions!$B$21*Assumptions!$B$13/MAX(Assumptions!$B$13+Assumptions!$B$14+Assumptions!$B$15,1)+Assumptions!$B$22*Assumptions!$B$14/MAX(Assumptions!$B$13+Assumptions!$B$14+Assumptions!$B$15,1)+Assumptions!$B$23*Assumptions!$B$15/MAX(Assumptions!$B$13+Assumptions!$B$14+Assumptions!$B$15,1)))</f>
        <v>-2304.13847230382</v>
      </c>
      <c r="M10" s="13" t="n">
        <f aca="false">-(M9*(Assumptions!$B$21*Assumptions!$B$13/MAX(Assumptions!$B$13+Assumptions!$B$14+Assumptions!$B$15,1)+Assumptions!$B$22*Assumptions!$B$14/MAX(Assumptions!$B$13+Assumptions!$B$14+Assumptions!$B$15,1)+Assumptions!$B$23*Assumptions!$B$15/MAX(Assumptions!$B$13+Assumptions!$B$14+Assumptions!$B$15,1)))</f>
        <v>-2350.22124174989</v>
      </c>
      <c r="N10" s="13" t="n">
        <f aca="false">-(N9*(Assumptions!$B$21*Assumptions!$B$13/MAX(Assumptions!$B$13+Assumptions!$B$14+Assumptions!$B$15,1)+Assumptions!$B$22*Assumptions!$B$14/MAX(Assumptions!$B$13+Assumptions!$B$14+Assumptions!$B$15,1)+Assumptions!$B$23*Assumptions!$B$15/MAX(Assumptions!$B$13+Assumptions!$B$14+Assumptions!$B$15,1)))</f>
        <v>-2397.22566658489</v>
      </c>
      <c r="O10" s="31" t="n">
        <f aca="false">SUM(C10:N10)</f>
        <v>-25858.5089958294</v>
      </c>
    </row>
    <row r="11" customFormat="false" ht="15" hidden="false" customHeight="true" outlineLevel="0" collapsed="false">
      <c r="A11" s="35" t="s">
        <v>12</v>
      </c>
      <c r="B11" s="36"/>
      <c r="C11" s="17" t="n">
        <f aca="false">C9+C10</f>
        <v>5302</v>
      </c>
      <c r="D11" s="17" t="n">
        <f aca="false">D9+D10</f>
        <v>5408.04</v>
      </c>
      <c r="E11" s="17" t="n">
        <f aca="false">E9+E10</f>
        <v>5516.2008</v>
      </c>
      <c r="F11" s="17" t="n">
        <f aca="false">F9+F10</f>
        <v>5626.524816</v>
      </c>
      <c r="G11" s="17" t="n">
        <f aca="false">G9+G10</f>
        <v>5739.05531232</v>
      </c>
      <c r="H11" s="17" t="n">
        <f aca="false">H9+H10</f>
        <v>5853.8364185664</v>
      </c>
      <c r="I11" s="17" t="n">
        <f aca="false">I9+I10</f>
        <v>5970.91314693773</v>
      </c>
      <c r="J11" s="17" t="n">
        <f aca="false">J9+J10</f>
        <v>6090.33140987648</v>
      </c>
      <c r="K11" s="17" t="n">
        <f aca="false">K9+K10</f>
        <v>6212.13803807401</v>
      </c>
      <c r="L11" s="17" t="n">
        <f aca="false">L9+L10</f>
        <v>6336.38079883549</v>
      </c>
      <c r="M11" s="17" t="n">
        <f aca="false">M9+M10</f>
        <v>6463.1084148122</v>
      </c>
      <c r="N11" s="17" t="n">
        <f aca="false">N9+N10</f>
        <v>6592.37058310845</v>
      </c>
      <c r="O11" s="17" t="n">
        <f aca="false">SUM(C11:N11)</f>
        <v>71110.8997385308</v>
      </c>
    </row>
    <row r="13" customFormat="false" ht="15" hidden="false" customHeight="true" outlineLevel="0" collapsed="false">
      <c r="A13" s="33" t="s">
        <v>133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</row>
    <row r="14" customFormat="false" ht="15" hidden="false" customHeight="true" outlineLevel="0" collapsed="false">
      <c r="A14" s="9" t="s">
        <v>134</v>
      </c>
      <c r="B14" s="9" t="s">
        <v>135</v>
      </c>
      <c r="C14" s="13" t="n">
        <f aca="false">-Assumptions!$B$29</f>
        <v>-800</v>
      </c>
      <c r="D14" s="13" t="n">
        <f aca="false">-Assumptions!$B$29</f>
        <v>-800</v>
      </c>
      <c r="E14" s="13" t="n">
        <f aca="false">-Assumptions!$B$29</f>
        <v>-800</v>
      </c>
      <c r="F14" s="13" t="n">
        <f aca="false">-Assumptions!$B$29</f>
        <v>-800</v>
      </c>
      <c r="G14" s="13" t="n">
        <f aca="false">-Assumptions!$B$29</f>
        <v>-800</v>
      </c>
      <c r="H14" s="13" t="n">
        <f aca="false">-Assumptions!$B$29</f>
        <v>-800</v>
      </c>
      <c r="I14" s="13" t="n">
        <f aca="false">-Assumptions!$B$29</f>
        <v>-800</v>
      </c>
      <c r="J14" s="13" t="n">
        <f aca="false">-Assumptions!$B$29</f>
        <v>-800</v>
      </c>
      <c r="K14" s="13" t="n">
        <f aca="false">-Assumptions!$B$29</f>
        <v>-800</v>
      </c>
      <c r="L14" s="13" t="n">
        <f aca="false">-Assumptions!$B$29</f>
        <v>-800</v>
      </c>
      <c r="M14" s="13" t="n">
        <f aca="false">-Assumptions!$B$29</f>
        <v>-800</v>
      </c>
      <c r="N14" s="13" t="n">
        <f aca="false">-Assumptions!$B$29</f>
        <v>-800</v>
      </c>
      <c r="O14" s="31" t="n">
        <f aca="false">SUM(C14:N14)</f>
        <v>-9600</v>
      </c>
    </row>
    <row r="15" customFormat="false" ht="15" hidden="false" customHeight="true" outlineLevel="0" collapsed="false">
      <c r="A15" s="15" t="s">
        <v>136</v>
      </c>
      <c r="B15" s="15" t="s">
        <v>135</v>
      </c>
      <c r="C15" s="13" t="n">
        <f aca="false">-Assumptions!$B$30</f>
        <v>-150</v>
      </c>
      <c r="D15" s="13" t="n">
        <f aca="false">-Assumptions!$B$30</f>
        <v>-150</v>
      </c>
      <c r="E15" s="13" t="n">
        <f aca="false">-Assumptions!$B$30</f>
        <v>-150</v>
      </c>
      <c r="F15" s="13" t="n">
        <f aca="false">-Assumptions!$B$30</f>
        <v>-150</v>
      </c>
      <c r="G15" s="13" t="n">
        <f aca="false">-Assumptions!$B$30</f>
        <v>-150</v>
      </c>
      <c r="H15" s="13" t="n">
        <f aca="false">-Assumptions!$B$30</f>
        <v>-150</v>
      </c>
      <c r="I15" s="13" t="n">
        <f aca="false">-Assumptions!$B$30</f>
        <v>-150</v>
      </c>
      <c r="J15" s="13" t="n">
        <f aca="false">-Assumptions!$B$30</f>
        <v>-150</v>
      </c>
      <c r="K15" s="13" t="n">
        <f aca="false">-Assumptions!$B$30</f>
        <v>-150</v>
      </c>
      <c r="L15" s="13" t="n">
        <f aca="false">-Assumptions!$B$30</f>
        <v>-150</v>
      </c>
      <c r="M15" s="13" t="n">
        <f aca="false">-Assumptions!$B$30</f>
        <v>-150</v>
      </c>
      <c r="N15" s="13" t="n">
        <f aca="false">-Assumptions!$B$30</f>
        <v>-150</v>
      </c>
      <c r="O15" s="31" t="n">
        <f aca="false">SUM(C15:N15)</f>
        <v>-1800</v>
      </c>
    </row>
    <row r="16" customFormat="false" ht="15" hidden="false" customHeight="true" outlineLevel="0" collapsed="false">
      <c r="A16" s="9" t="s">
        <v>78</v>
      </c>
      <c r="B16" s="9" t="s">
        <v>135</v>
      </c>
      <c r="C16" s="13" t="n">
        <f aca="false">-Assumptions!$B$31</f>
        <v>-80</v>
      </c>
      <c r="D16" s="13" t="n">
        <f aca="false">-Assumptions!$B$31</f>
        <v>-80</v>
      </c>
      <c r="E16" s="13" t="n">
        <f aca="false">-Assumptions!$B$31</f>
        <v>-80</v>
      </c>
      <c r="F16" s="13" t="n">
        <f aca="false">-Assumptions!$B$31</f>
        <v>-80</v>
      </c>
      <c r="G16" s="13" t="n">
        <f aca="false">-Assumptions!$B$31</f>
        <v>-80</v>
      </c>
      <c r="H16" s="13" t="n">
        <f aca="false">-Assumptions!$B$31</f>
        <v>-80</v>
      </c>
      <c r="I16" s="13" t="n">
        <f aca="false">-Assumptions!$B$31</f>
        <v>-80</v>
      </c>
      <c r="J16" s="13" t="n">
        <f aca="false">-Assumptions!$B$31</f>
        <v>-80</v>
      </c>
      <c r="K16" s="13" t="n">
        <f aca="false">-Assumptions!$B$31</f>
        <v>-80</v>
      </c>
      <c r="L16" s="13" t="n">
        <f aca="false">-Assumptions!$B$31</f>
        <v>-80</v>
      </c>
      <c r="M16" s="13" t="n">
        <f aca="false">-Assumptions!$B$31</f>
        <v>-80</v>
      </c>
      <c r="N16" s="13" t="n">
        <f aca="false">-Assumptions!$B$31</f>
        <v>-80</v>
      </c>
      <c r="O16" s="31" t="n">
        <f aca="false">SUM(C16:N16)</f>
        <v>-960</v>
      </c>
    </row>
    <row r="17" customFormat="false" ht="15" hidden="false" customHeight="true" outlineLevel="0" collapsed="false">
      <c r="A17" s="15" t="s">
        <v>80</v>
      </c>
      <c r="B17" s="15" t="s">
        <v>137</v>
      </c>
      <c r="C17" s="13" t="n">
        <f aca="false">-C11*Assumptions!$B$32</f>
        <v>-53.02</v>
      </c>
      <c r="D17" s="13" t="n">
        <f aca="false">-D11*Assumptions!$B$32</f>
        <v>-54.0804</v>
      </c>
      <c r="E17" s="13" t="n">
        <f aca="false">-E11*Assumptions!$B$32</f>
        <v>-55.162008</v>
      </c>
      <c r="F17" s="13" t="n">
        <f aca="false">-F11*Assumptions!$B$32</f>
        <v>-56.26524816</v>
      </c>
      <c r="G17" s="13" t="n">
        <f aca="false">-G11*Assumptions!$B$32</f>
        <v>-57.3905531232</v>
      </c>
      <c r="H17" s="13" t="n">
        <f aca="false">-H11*Assumptions!$B$32</f>
        <v>-58.538364185664</v>
      </c>
      <c r="I17" s="13" t="n">
        <f aca="false">-I11*Assumptions!$B$32</f>
        <v>-59.7091314693773</v>
      </c>
      <c r="J17" s="13" t="n">
        <f aca="false">-J11*Assumptions!$B$32</f>
        <v>-60.9033140987648</v>
      </c>
      <c r="K17" s="13" t="n">
        <f aca="false">-K11*Assumptions!$B$32</f>
        <v>-62.1213803807401</v>
      </c>
      <c r="L17" s="13" t="n">
        <f aca="false">-L11*Assumptions!$B$32</f>
        <v>-63.3638079883549</v>
      </c>
      <c r="M17" s="13" t="n">
        <f aca="false">-M11*Assumptions!$B$32</f>
        <v>-64.631084148122</v>
      </c>
      <c r="N17" s="13" t="n">
        <f aca="false">-N11*Assumptions!$B$32</f>
        <v>-65.9237058310845</v>
      </c>
      <c r="O17" s="31" t="n">
        <f aca="false">SUM(C17:N17)</f>
        <v>-711.108997385308</v>
      </c>
    </row>
    <row r="18" customFormat="false" ht="15" hidden="false" customHeight="true" outlineLevel="0" collapsed="false">
      <c r="A18" s="9" t="s">
        <v>83</v>
      </c>
      <c r="B18" s="9" t="s">
        <v>137</v>
      </c>
      <c r="C18" s="13" t="n">
        <f aca="false">-C11*Assumptions!$B$33</f>
        <v>-530.2</v>
      </c>
      <c r="D18" s="13" t="n">
        <f aca="false">-D11*Assumptions!$B$33</f>
        <v>-540.804</v>
      </c>
      <c r="E18" s="13" t="n">
        <f aca="false">-E11*Assumptions!$B$33</f>
        <v>-551.62008</v>
      </c>
      <c r="F18" s="13" t="n">
        <f aca="false">-F11*Assumptions!$B$33</f>
        <v>-562.6524816</v>
      </c>
      <c r="G18" s="13" t="n">
        <f aca="false">-G11*Assumptions!$B$33</f>
        <v>-573.905531232</v>
      </c>
      <c r="H18" s="13" t="n">
        <f aca="false">-H11*Assumptions!$B$33</f>
        <v>-585.38364185664</v>
      </c>
      <c r="I18" s="13" t="n">
        <f aca="false">-I11*Assumptions!$B$33</f>
        <v>-597.091314693773</v>
      </c>
      <c r="J18" s="13" t="n">
        <f aca="false">-J11*Assumptions!$B$33</f>
        <v>-609.033140987648</v>
      </c>
      <c r="K18" s="13" t="n">
        <f aca="false">-K11*Assumptions!$B$33</f>
        <v>-621.213803807401</v>
      </c>
      <c r="L18" s="13" t="n">
        <f aca="false">-L11*Assumptions!$B$33</f>
        <v>-633.638079883549</v>
      </c>
      <c r="M18" s="13" t="n">
        <f aca="false">-M11*Assumptions!$B$33</f>
        <v>-646.31084148122</v>
      </c>
      <c r="N18" s="13" t="n">
        <f aca="false">-N11*Assumptions!$B$33</f>
        <v>-659.237058310845</v>
      </c>
      <c r="O18" s="31" t="n">
        <f aca="false">SUM(C18:N18)</f>
        <v>-7111.08997385308</v>
      </c>
    </row>
    <row r="19" customFormat="false" ht="15" hidden="false" customHeight="true" outlineLevel="0" collapsed="false">
      <c r="A19" s="15" t="s">
        <v>138</v>
      </c>
      <c r="B19" s="15" t="s">
        <v>135</v>
      </c>
      <c r="C19" s="13" t="n">
        <f aca="false">-Assumptions!$B$34</f>
        <v>-50</v>
      </c>
      <c r="D19" s="13" t="n">
        <f aca="false">-Assumptions!$B$34</f>
        <v>-50</v>
      </c>
      <c r="E19" s="13" t="n">
        <f aca="false">-Assumptions!$B$34</f>
        <v>-50</v>
      </c>
      <c r="F19" s="13" t="n">
        <f aca="false">-Assumptions!$B$34</f>
        <v>-50</v>
      </c>
      <c r="G19" s="13" t="n">
        <f aca="false">-Assumptions!$B$34</f>
        <v>-50</v>
      </c>
      <c r="H19" s="13" t="n">
        <f aca="false">-Assumptions!$B$34</f>
        <v>-50</v>
      </c>
      <c r="I19" s="13" t="n">
        <f aca="false">-Assumptions!$B$34</f>
        <v>-50</v>
      </c>
      <c r="J19" s="13" t="n">
        <f aca="false">-Assumptions!$B$34</f>
        <v>-50</v>
      </c>
      <c r="K19" s="13" t="n">
        <f aca="false">-Assumptions!$B$34</f>
        <v>-50</v>
      </c>
      <c r="L19" s="13" t="n">
        <f aca="false">-Assumptions!$B$34</f>
        <v>-50</v>
      </c>
      <c r="M19" s="13" t="n">
        <f aca="false">-Assumptions!$B$34</f>
        <v>-50</v>
      </c>
      <c r="N19" s="13" t="n">
        <f aca="false">-Assumptions!$B$34</f>
        <v>-50</v>
      </c>
      <c r="O19" s="31" t="n">
        <f aca="false">SUM(C19:N19)</f>
        <v>-600</v>
      </c>
    </row>
    <row r="20" customFormat="false" ht="15" hidden="false" customHeight="true" outlineLevel="0" collapsed="false">
      <c r="A20" s="9" t="s">
        <v>139</v>
      </c>
      <c r="B20" s="9" t="s">
        <v>137</v>
      </c>
      <c r="C20" s="13" t="n">
        <f aca="false">-C11*Assumptions!$B$35</f>
        <v>-159.06</v>
      </c>
      <c r="D20" s="13" t="n">
        <f aca="false">-D11*Assumptions!$B$35</f>
        <v>-162.2412</v>
      </c>
      <c r="E20" s="13" t="n">
        <f aca="false">-E11*Assumptions!$B$35</f>
        <v>-165.486024</v>
      </c>
      <c r="F20" s="13" t="n">
        <f aca="false">-F11*Assumptions!$B$35</f>
        <v>-168.79574448</v>
      </c>
      <c r="G20" s="13" t="n">
        <f aca="false">-G11*Assumptions!$B$35</f>
        <v>-172.1716593696</v>
      </c>
      <c r="H20" s="13" t="n">
        <f aca="false">-H11*Assumptions!$B$35</f>
        <v>-175.615092556992</v>
      </c>
      <c r="I20" s="13" t="n">
        <f aca="false">-I11*Assumptions!$B$35</f>
        <v>-179.127394408132</v>
      </c>
      <c r="J20" s="13" t="n">
        <f aca="false">-J11*Assumptions!$B$35</f>
        <v>-182.709942296294</v>
      </c>
      <c r="K20" s="13" t="n">
        <f aca="false">-K11*Assumptions!$B$35</f>
        <v>-186.36414114222</v>
      </c>
      <c r="L20" s="13" t="n">
        <f aca="false">-L11*Assumptions!$B$35</f>
        <v>-190.091423965065</v>
      </c>
      <c r="M20" s="13" t="n">
        <f aca="false">-M11*Assumptions!$B$35</f>
        <v>-193.893252444366</v>
      </c>
      <c r="N20" s="13" t="n">
        <f aca="false">-N11*Assumptions!$B$35</f>
        <v>-197.771117493253</v>
      </c>
      <c r="O20" s="31" t="n">
        <f aca="false">SUM(C20:N20)</f>
        <v>-2133.32699215592</v>
      </c>
    </row>
    <row r="21" customFormat="false" ht="15" hidden="false" customHeight="true" outlineLevel="0" collapsed="false">
      <c r="A21" s="15" t="s">
        <v>140</v>
      </c>
      <c r="B21" s="15" t="s">
        <v>135</v>
      </c>
      <c r="C21" s="13" t="n">
        <f aca="false">-Assumptions!$B$36</f>
        <v>-75</v>
      </c>
      <c r="D21" s="13" t="n">
        <f aca="false">-Assumptions!$B$36</f>
        <v>-75</v>
      </c>
      <c r="E21" s="13" t="n">
        <f aca="false">-Assumptions!$B$36</f>
        <v>-75</v>
      </c>
      <c r="F21" s="13" t="n">
        <f aca="false">-Assumptions!$B$36</f>
        <v>-75</v>
      </c>
      <c r="G21" s="13" t="n">
        <f aca="false">-Assumptions!$B$36</f>
        <v>-75</v>
      </c>
      <c r="H21" s="13" t="n">
        <f aca="false">-Assumptions!$B$36</f>
        <v>-75</v>
      </c>
      <c r="I21" s="13" t="n">
        <f aca="false">-Assumptions!$B$36</f>
        <v>-75</v>
      </c>
      <c r="J21" s="13" t="n">
        <f aca="false">-Assumptions!$B$36</f>
        <v>-75</v>
      </c>
      <c r="K21" s="13" t="n">
        <f aca="false">-Assumptions!$B$36</f>
        <v>-75</v>
      </c>
      <c r="L21" s="13" t="n">
        <f aca="false">-Assumptions!$B$36</f>
        <v>-75</v>
      </c>
      <c r="M21" s="13" t="n">
        <f aca="false">-Assumptions!$B$36</f>
        <v>-75</v>
      </c>
      <c r="N21" s="13" t="n">
        <f aca="false">-Assumptions!$B$36</f>
        <v>-75</v>
      </c>
      <c r="O21" s="31" t="n">
        <f aca="false">SUM(C21:N21)</f>
        <v>-900</v>
      </c>
    </row>
    <row r="22" customFormat="false" ht="15" hidden="false" customHeight="true" outlineLevel="0" collapsed="false">
      <c r="A22" s="9" t="s">
        <v>91</v>
      </c>
      <c r="B22" s="9" t="s">
        <v>135</v>
      </c>
      <c r="C22" s="13" t="n">
        <f aca="false">-Assumptions!$B$37</f>
        <v>-30</v>
      </c>
      <c r="D22" s="13" t="n">
        <f aca="false">-Assumptions!$B$37</f>
        <v>-30</v>
      </c>
      <c r="E22" s="13" t="n">
        <f aca="false">-Assumptions!$B$37</f>
        <v>-30</v>
      </c>
      <c r="F22" s="13" t="n">
        <f aca="false">-Assumptions!$B$37</f>
        <v>-30</v>
      </c>
      <c r="G22" s="13" t="n">
        <f aca="false">-Assumptions!$B$37</f>
        <v>-30</v>
      </c>
      <c r="H22" s="13" t="n">
        <f aca="false">-Assumptions!$B$37</f>
        <v>-30</v>
      </c>
      <c r="I22" s="13" t="n">
        <f aca="false">-Assumptions!$B$37</f>
        <v>-30</v>
      </c>
      <c r="J22" s="13" t="n">
        <f aca="false">-Assumptions!$B$37</f>
        <v>-30</v>
      </c>
      <c r="K22" s="13" t="n">
        <f aca="false">-Assumptions!$B$37</f>
        <v>-30</v>
      </c>
      <c r="L22" s="13" t="n">
        <f aca="false">-Assumptions!$B$37</f>
        <v>-30</v>
      </c>
      <c r="M22" s="13" t="n">
        <f aca="false">-Assumptions!$B$37</f>
        <v>-30</v>
      </c>
      <c r="N22" s="13" t="n">
        <f aca="false">-Assumptions!$B$37</f>
        <v>-30</v>
      </c>
      <c r="O22" s="31" t="n">
        <f aca="false">SUM(C22:N22)</f>
        <v>-360</v>
      </c>
    </row>
    <row r="23" customFormat="false" ht="15" hidden="false" customHeight="true" outlineLevel="0" collapsed="false">
      <c r="A23" s="15" t="s">
        <v>93</v>
      </c>
      <c r="B23" s="15" t="s">
        <v>135</v>
      </c>
      <c r="C23" s="13" t="n">
        <f aca="false">-Assumptions!$B$38</f>
        <v>-25</v>
      </c>
      <c r="D23" s="13" t="n">
        <f aca="false">-Assumptions!$B$38</f>
        <v>-25</v>
      </c>
      <c r="E23" s="13" t="n">
        <f aca="false">-Assumptions!$B$38</f>
        <v>-25</v>
      </c>
      <c r="F23" s="13" t="n">
        <f aca="false">-Assumptions!$B$38</f>
        <v>-25</v>
      </c>
      <c r="G23" s="13" t="n">
        <f aca="false">-Assumptions!$B$38</f>
        <v>-25</v>
      </c>
      <c r="H23" s="13" t="n">
        <f aca="false">-Assumptions!$B$38</f>
        <v>-25</v>
      </c>
      <c r="I23" s="13" t="n">
        <f aca="false">-Assumptions!$B$38</f>
        <v>-25</v>
      </c>
      <c r="J23" s="13" t="n">
        <f aca="false">-Assumptions!$B$38</f>
        <v>-25</v>
      </c>
      <c r="K23" s="13" t="n">
        <f aca="false">-Assumptions!$B$38</f>
        <v>-25</v>
      </c>
      <c r="L23" s="13" t="n">
        <f aca="false">-Assumptions!$B$38</f>
        <v>-25</v>
      </c>
      <c r="M23" s="13" t="n">
        <f aca="false">-Assumptions!$B$38</f>
        <v>-25</v>
      </c>
      <c r="N23" s="13" t="n">
        <f aca="false">-Assumptions!$B$38</f>
        <v>-25</v>
      </c>
      <c r="O23" s="31" t="n">
        <f aca="false">SUM(C23:N23)</f>
        <v>-300</v>
      </c>
    </row>
    <row r="24" customFormat="false" ht="15" hidden="false" customHeight="true" outlineLevel="0" collapsed="false">
      <c r="A24" s="9" t="s">
        <v>95</v>
      </c>
      <c r="B24" s="9" t="s">
        <v>135</v>
      </c>
      <c r="C24" s="13" t="n">
        <f aca="false">-Assumptions!$B$39</f>
        <v>-15</v>
      </c>
      <c r="D24" s="13" t="n">
        <f aca="false">-Assumptions!$B$39</f>
        <v>-15</v>
      </c>
      <c r="E24" s="13" t="n">
        <f aca="false">-Assumptions!$B$39</f>
        <v>-15</v>
      </c>
      <c r="F24" s="13" t="n">
        <f aca="false">-Assumptions!$B$39</f>
        <v>-15</v>
      </c>
      <c r="G24" s="13" t="n">
        <f aca="false">-Assumptions!$B$39</f>
        <v>-15</v>
      </c>
      <c r="H24" s="13" t="n">
        <f aca="false">-Assumptions!$B$39</f>
        <v>-15</v>
      </c>
      <c r="I24" s="13" t="n">
        <f aca="false">-Assumptions!$B$39</f>
        <v>-15</v>
      </c>
      <c r="J24" s="13" t="n">
        <f aca="false">-Assumptions!$B$39</f>
        <v>-15</v>
      </c>
      <c r="K24" s="13" t="n">
        <f aca="false">-Assumptions!$B$39</f>
        <v>-15</v>
      </c>
      <c r="L24" s="13" t="n">
        <f aca="false">-Assumptions!$B$39</f>
        <v>-15</v>
      </c>
      <c r="M24" s="13" t="n">
        <f aca="false">-Assumptions!$B$39</f>
        <v>-15</v>
      </c>
      <c r="N24" s="13" t="n">
        <f aca="false">-Assumptions!$B$39</f>
        <v>-15</v>
      </c>
      <c r="O24" s="31" t="n">
        <f aca="false">SUM(C24:N24)</f>
        <v>-180</v>
      </c>
    </row>
    <row r="25" customFormat="false" ht="15" hidden="false" customHeight="true" outlineLevel="0" collapsed="false">
      <c r="A25" s="15" t="s">
        <v>97</v>
      </c>
      <c r="B25" s="15" t="s">
        <v>135</v>
      </c>
      <c r="C25" s="13" t="n">
        <f aca="false">-Assumptions!$B$40</f>
        <v>-40</v>
      </c>
      <c r="D25" s="13" t="n">
        <f aca="false">-Assumptions!$B$40</f>
        <v>-40</v>
      </c>
      <c r="E25" s="13" t="n">
        <f aca="false">-Assumptions!$B$40</f>
        <v>-40</v>
      </c>
      <c r="F25" s="13" t="n">
        <f aca="false">-Assumptions!$B$40</f>
        <v>-40</v>
      </c>
      <c r="G25" s="13" t="n">
        <f aca="false">-Assumptions!$B$40</f>
        <v>-40</v>
      </c>
      <c r="H25" s="13" t="n">
        <f aca="false">-Assumptions!$B$40</f>
        <v>-40</v>
      </c>
      <c r="I25" s="13" t="n">
        <f aca="false">-Assumptions!$B$40</f>
        <v>-40</v>
      </c>
      <c r="J25" s="13" t="n">
        <f aca="false">-Assumptions!$B$40</f>
        <v>-40</v>
      </c>
      <c r="K25" s="13" t="n">
        <f aca="false">-Assumptions!$B$40</f>
        <v>-40</v>
      </c>
      <c r="L25" s="13" t="n">
        <f aca="false">-Assumptions!$B$40</f>
        <v>-40</v>
      </c>
      <c r="M25" s="13" t="n">
        <f aca="false">-Assumptions!$B$40</f>
        <v>-40</v>
      </c>
      <c r="N25" s="13" t="n">
        <f aca="false">-Assumptions!$B$40</f>
        <v>-40</v>
      </c>
      <c r="O25" s="31" t="n">
        <f aca="false">SUM(C25:N25)</f>
        <v>-480</v>
      </c>
    </row>
    <row r="26" customFormat="false" ht="15" hidden="false" customHeight="true" outlineLevel="0" collapsed="false">
      <c r="A26" s="37" t="s">
        <v>13</v>
      </c>
      <c r="B26" s="38"/>
      <c r="C26" s="17" t="n">
        <f aca="false">SUM(C14:C25)</f>
        <v>-2007.28</v>
      </c>
      <c r="D26" s="17" t="n">
        <f aca="false">SUM(D14:D25)</f>
        <v>-2022.1256</v>
      </c>
      <c r="E26" s="17" t="n">
        <f aca="false">SUM(E14:E25)</f>
        <v>-2037.268112</v>
      </c>
      <c r="F26" s="17" t="n">
        <f aca="false">SUM(F14:F25)</f>
        <v>-2052.71347424</v>
      </c>
      <c r="G26" s="17" t="n">
        <f aca="false">SUM(G14:G25)</f>
        <v>-2068.4677437248</v>
      </c>
      <c r="H26" s="17" t="n">
        <f aca="false">SUM(H14:H25)</f>
        <v>-2084.5370985993</v>
      </c>
      <c r="I26" s="17" t="n">
        <f aca="false">SUM(I14:I25)</f>
        <v>-2100.92784057128</v>
      </c>
      <c r="J26" s="17" t="n">
        <f aca="false">SUM(J14:J25)</f>
        <v>-2117.64639738271</v>
      </c>
      <c r="K26" s="17" t="n">
        <f aca="false">SUM(K14:K25)</f>
        <v>-2134.69932533036</v>
      </c>
      <c r="L26" s="17" t="n">
        <f aca="false">SUM(L14:L25)</f>
        <v>-2152.09331183697</v>
      </c>
      <c r="M26" s="17" t="n">
        <f aca="false">SUM(M14:M25)</f>
        <v>-2169.83517807371</v>
      </c>
      <c r="N26" s="17" t="n">
        <f aca="false">SUM(N14:N25)</f>
        <v>-2187.93188163518</v>
      </c>
      <c r="O26" s="17" t="n">
        <f aca="false">SUM(C26:N26)</f>
        <v>-25135.5259633943</v>
      </c>
    </row>
    <row r="27" customFormat="false" ht="15" hidden="false" customHeight="true" outlineLevel="0" collapsed="false">
      <c r="A27" s="39" t="s">
        <v>14</v>
      </c>
      <c r="B27" s="40"/>
      <c r="C27" s="17" t="n">
        <f aca="false">C11+C26</f>
        <v>3294.72</v>
      </c>
      <c r="D27" s="17" t="n">
        <f aca="false">D11+D26</f>
        <v>3385.9144</v>
      </c>
      <c r="E27" s="17" t="n">
        <f aca="false">E11+E26</f>
        <v>3478.932688</v>
      </c>
      <c r="F27" s="17" t="n">
        <f aca="false">F11+F26</f>
        <v>3573.81134176</v>
      </c>
      <c r="G27" s="17" t="n">
        <f aca="false">G11+G26</f>
        <v>3670.5875685952</v>
      </c>
      <c r="H27" s="17" t="n">
        <f aca="false">H11+H26</f>
        <v>3769.2993199671</v>
      </c>
      <c r="I27" s="17" t="n">
        <f aca="false">I11+I26</f>
        <v>3869.98530636645</v>
      </c>
      <c r="J27" s="17" t="n">
        <f aca="false">J11+J26</f>
        <v>3972.68501249377</v>
      </c>
      <c r="K27" s="17" t="n">
        <f aca="false">K11+K26</f>
        <v>4077.43871274365</v>
      </c>
      <c r="L27" s="17" t="n">
        <f aca="false">L11+L26</f>
        <v>4184.28748699852</v>
      </c>
      <c r="M27" s="17" t="n">
        <f aca="false">M11+M26</f>
        <v>4293.27323673849</v>
      </c>
      <c r="N27" s="17" t="n">
        <f aca="false">N11+N26</f>
        <v>4404.43870147326</v>
      </c>
      <c r="O27" s="17" t="n">
        <f aca="false">SUM(C27:N27)</f>
        <v>45975.3737751365</v>
      </c>
    </row>
    <row r="29" customFormat="false" ht="15" hidden="false" customHeight="true" outlineLevel="0" collapsed="false">
      <c r="A29" s="33" t="s">
        <v>141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</row>
    <row r="30" customFormat="false" ht="15" hidden="false" customHeight="true" outlineLevel="0" collapsed="false">
      <c r="A30" s="15" t="s">
        <v>142</v>
      </c>
      <c r="B30" s="15" t="s">
        <v>143</v>
      </c>
      <c r="C30" s="31" t="n">
        <f aca="false">-Assumptions!$B$48</f>
        <v>-0</v>
      </c>
      <c r="D30" s="31" t="n">
        <f aca="false">-Assumptions!$B$48</f>
        <v>-0</v>
      </c>
      <c r="E30" s="31" t="n">
        <f aca="false">-Assumptions!$B$48</f>
        <v>-0</v>
      </c>
      <c r="F30" s="31" t="n">
        <f aca="false">-Assumptions!$B$48</f>
        <v>-0</v>
      </c>
      <c r="G30" s="31" t="n">
        <f aca="false">-Assumptions!$B$48</f>
        <v>-0</v>
      </c>
      <c r="H30" s="31" t="n">
        <f aca="false">-Assumptions!$B$48</f>
        <v>-0</v>
      </c>
      <c r="I30" s="31" t="n">
        <f aca="false">-Assumptions!$B$48</f>
        <v>-0</v>
      </c>
      <c r="J30" s="31" t="n">
        <f aca="false">-Assumptions!$B$48</f>
        <v>-0</v>
      </c>
      <c r="K30" s="31" t="n">
        <f aca="false">-Assumptions!$B$48</f>
        <v>-0</v>
      </c>
      <c r="L30" s="31" t="n">
        <f aca="false">-Assumptions!$B$48</f>
        <v>-0</v>
      </c>
      <c r="M30" s="31" t="n">
        <f aca="false">-Assumptions!$B$48</f>
        <v>-0</v>
      </c>
      <c r="N30" s="31" t="n">
        <f aca="false">-Assumptions!$B$48</f>
        <v>-0</v>
      </c>
      <c r="O30" s="31" t="n">
        <f aca="false">SUM(C30:N30)</f>
        <v>0</v>
      </c>
    </row>
    <row r="31" customFormat="false" ht="15" hidden="false" customHeight="true" outlineLevel="0" collapsed="false">
      <c r="A31" s="39" t="s">
        <v>15</v>
      </c>
      <c r="B31" s="40"/>
      <c r="C31" s="17" t="n">
        <f aca="false">C27+C30</f>
        <v>3294.72</v>
      </c>
      <c r="D31" s="17" t="n">
        <f aca="false">D27+D30</f>
        <v>3385.9144</v>
      </c>
      <c r="E31" s="17" t="n">
        <f aca="false">E27+E30</f>
        <v>3478.932688</v>
      </c>
      <c r="F31" s="17" t="n">
        <f aca="false">F27+F30</f>
        <v>3573.81134176</v>
      </c>
      <c r="G31" s="17" t="n">
        <f aca="false">G27+G30</f>
        <v>3670.5875685952</v>
      </c>
      <c r="H31" s="17" t="n">
        <f aca="false">H27+H30</f>
        <v>3769.2993199671</v>
      </c>
      <c r="I31" s="17" t="n">
        <f aca="false">I27+I30</f>
        <v>3869.98530636645</v>
      </c>
      <c r="J31" s="17" t="n">
        <f aca="false">J27+J30</f>
        <v>3972.68501249377</v>
      </c>
      <c r="K31" s="17" t="n">
        <f aca="false">K27+K30</f>
        <v>4077.43871274365</v>
      </c>
      <c r="L31" s="17" t="n">
        <f aca="false">L27+L30</f>
        <v>4184.28748699852</v>
      </c>
      <c r="M31" s="17" t="n">
        <f aca="false">M27+M30</f>
        <v>4293.27323673849</v>
      </c>
      <c r="N31" s="17" t="n">
        <f aca="false">N27+N30</f>
        <v>4404.43870147326</v>
      </c>
      <c r="O31" s="17" t="n">
        <f aca="false">SUM(C31:N31)</f>
        <v>45975.3737751365</v>
      </c>
    </row>
    <row r="33" customFormat="false" ht="15" hidden="false" customHeight="true" outlineLevel="0" collapsed="false">
      <c r="A33" s="9" t="s">
        <v>144</v>
      </c>
      <c r="B33" s="9" t="s">
        <v>145</v>
      </c>
      <c r="C33" s="41" t="n">
        <f aca="false">IF(C9=0,0,C27/C9)</f>
        <v>0.455701244813278</v>
      </c>
      <c r="D33" s="41" t="n">
        <f aca="false">IF(D9=0,0,D27/D9)</f>
        <v>0.459131939359423</v>
      </c>
      <c r="E33" s="41" t="n">
        <f aca="false">IF(E9=0,0,E27/E9)</f>
        <v>0.462495365385055</v>
      </c>
      <c r="F33" s="41" t="n">
        <f aca="false">IF(F9=0,0,F27/F9)</f>
        <v>0.465792841880773</v>
      </c>
      <c r="G33" s="41" t="n">
        <f aca="false">IF(G9=0,0,G27/G9)</f>
        <v>0.469025661974614</v>
      </c>
      <c r="H33" s="41" t="n">
        <f aca="false">IF(H9=0,0,H27/H9)</f>
        <v>0.472195093439164</v>
      </c>
      <c r="I33" s="41" t="n">
        <f aca="false">IF(I9=0,0,I27/I9)</f>
        <v>0.475302379188723</v>
      </c>
      <c r="J33" s="41" t="n">
        <f aca="false">IF(J9=0,0,J27/J9)</f>
        <v>0.478348737766722</v>
      </c>
      <c r="K33" s="41" t="n">
        <f aca="false">IF(K9=0,0,K27/K9)</f>
        <v>0.481335363823584</v>
      </c>
      <c r="L33" s="41" t="n">
        <f aca="false">IF(L9=0,0,L27/L9)</f>
        <v>0.484263428585213</v>
      </c>
      <c r="M33" s="41" t="n">
        <f aca="false">IF(M9=0,0,M27/M9)</f>
        <v>0.4871340803123</v>
      </c>
      <c r="N33" s="41" t="n">
        <f aca="false">IF(N9=0,0,N27/N9)</f>
        <v>0.489948444750621</v>
      </c>
      <c r="O33" s="41" t="n">
        <f aca="false">IF(O9=0,0,O27/O9)</f>
        <v>0.474122451350428</v>
      </c>
    </row>
  </sheetData>
  <mergeCells count="4">
    <mergeCell ref="A1:O1"/>
    <mergeCell ref="A4:O4"/>
    <mergeCell ref="A13:O13"/>
    <mergeCell ref="A29:O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2026-06-10T05:04:46Z</dcterms:created>
  <dc:creator>openpyxl</dc:creator>
  <dc:description/>
  <dc:language>en-US</dc:language>
  <cp:lastModifiedBy/>
  <dcterms:modified xsi:type="dcterms:W3CDTF">2026-06-10T05:06:47Z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